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оцеконом 2021-2027\"/>
    </mc:Choice>
  </mc:AlternateContent>
  <bookViews>
    <workbookView xWindow="0" yWindow="0" windowWidth="15345" windowHeight="6105" tabRatio="467" activeTab="2"/>
  </bookViews>
  <sheets>
    <sheet name="Показники ОТГ" sheetId="1" r:id="rId1"/>
    <sheet name="отг" sheetId="3" r:id="rId2"/>
    <sheet name="форма" sheetId="2" r:id="rId3"/>
  </sheets>
  <definedNames>
    <definedName name="_xlnm.Print_Titles" localSheetId="0">'Показники ОТГ'!$6:$7</definedName>
    <definedName name="_xlnm.Print_Area" localSheetId="0">'Показники ОТГ'!$A$1:$T$84</definedName>
    <definedName name="_xlnm.Print_Area" localSheetId="2">форма!$A$1:$AA$179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M44" i="1" l="1"/>
  <c r="I44" i="1"/>
  <c r="G44" i="1"/>
  <c r="S12" i="2"/>
  <c r="T12" i="2"/>
  <c r="U12" i="2"/>
  <c r="V12" i="2"/>
  <c r="W12" i="2"/>
  <c r="X12" i="2"/>
  <c r="Y12" i="2"/>
  <c r="Z12" i="2"/>
  <c r="S11" i="2"/>
  <c r="T11" i="2"/>
  <c r="U11" i="2"/>
  <c r="V11" i="2"/>
  <c r="W11" i="2"/>
  <c r="X11" i="2"/>
  <c r="Y11" i="2"/>
  <c r="Z11" i="2"/>
  <c r="R11" i="2"/>
  <c r="R12" i="2"/>
  <c r="S8" i="2"/>
  <c r="T8" i="2"/>
  <c r="U8" i="2"/>
  <c r="V8" i="2"/>
  <c r="W8" i="2"/>
  <c r="X8" i="2"/>
  <c r="Y8" i="2"/>
  <c r="Z8" i="2"/>
  <c r="R8" i="2"/>
  <c r="T9" i="2"/>
  <c r="U9" i="2"/>
  <c r="V9" i="2"/>
  <c r="W9" i="2"/>
  <c r="X9" i="2"/>
  <c r="Z9" i="2"/>
  <c r="Q43" i="1"/>
  <c r="W10" i="2"/>
  <c r="O43" i="1"/>
  <c r="P43" i="1" s="1"/>
  <c r="M43" i="1"/>
  <c r="N43" i="1" s="1"/>
  <c r="K43" i="1"/>
  <c r="I43" i="1"/>
  <c r="R43" i="1"/>
  <c r="R44" i="1"/>
  <c r="T43" i="1"/>
  <c r="T44" i="1"/>
  <c r="P44" i="1"/>
  <c r="N44" i="1"/>
  <c r="L43" i="1"/>
  <c r="L44" i="1"/>
  <c r="J43" i="1"/>
  <c r="J44" i="1"/>
  <c r="Z10" i="2"/>
  <c r="X10" i="2"/>
  <c r="V10" i="2"/>
  <c r="S10" i="2"/>
  <c r="T10" i="2"/>
  <c r="U10" i="2"/>
  <c r="R10" i="2"/>
  <c r="Q42" i="1"/>
  <c r="R42" i="1" s="1"/>
  <c r="S42" i="1"/>
  <c r="T42" i="1" s="1"/>
  <c r="M42" i="1"/>
  <c r="N42" i="1" s="1"/>
  <c r="O42" i="1"/>
  <c r="P42" i="1" s="1"/>
  <c r="K42" i="1"/>
  <c r="L42" i="1" s="1"/>
  <c r="J42" i="1"/>
  <c r="I165" i="2"/>
  <c r="J165" i="2"/>
  <c r="K165" i="2"/>
  <c r="L165" i="2"/>
  <c r="M165" i="2"/>
  <c r="N165" i="2"/>
  <c r="I160" i="2"/>
  <c r="I159" i="2" s="1"/>
  <c r="J160" i="2"/>
  <c r="K160" i="2"/>
  <c r="L160" i="2"/>
  <c r="M160" i="2"/>
  <c r="N160" i="2"/>
  <c r="H160" i="2"/>
  <c r="H70" i="2"/>
  <c r="I65" i="2"/>
  <c r="J65" i="2"/>
  <c r="K65" i="2"/>
  <c r="L65" i="2"/>
  <c r="M65" i="2"/>
  <c r="N65" i="2"/>
  <c r="H65" i="2"/>
  <c r="I60" i="2"/>
  <c r="J60" i="2"/>
  <c r="K60" i="2"/>
  <c r="L60" i="2"/>
  <c r="M60" i="2"/>
  <c r="N60" i="2"/>
  <c r="H60" i="2"/>
  <c r="I55" i="2"/>
  <c r="J55" i="2"/>
  <c r="K55" i="2"/>
  <c r="L55" i="2"/>
  <c r="M55" i="2"/>
  <c r="N55" i="2"/>
  <c r="H55" i="2"/>
  <c r="I50" i="2"/>
  <c r="J50" i="2"/>
  <c r="K50" i="2"/>
  <c r="L50" i="2"/>
  <c r="M50" i="2"/>
  <c r="N50" i="2"/>
  <c r="H50" i="2"/>
  <c r="H9" i="2"/>
  <c r="F8" i="2"/>
  <c r="I171" i="2"/>
  <c r="S9" i="2" s="1"/>
  <c r="H171" i="2"/>
  <c r="R9" i="2" s="1"/>
  <c r="H165" i="2" l="1"/>
  <c r="H159" i="2" s="1"/>
  <c r="O169" i="2"/>
  <c r="O168" i="2"/>
  <c r="O167" i="2"/>
  <c r="O166" i="2"/>
  <c r="F160" i="2"/>
  <c r="F159" i="2" s="1"/>
  <c r="F122" i="2"/>
  <c r="F121" i="2"/>
  <c r="F119" i="2"/>
  <c r="F154" i="2"/>
  <c r="F138" i="2" s="1"/>
  <c r="L152" i="2"/>
  <c r="O152" i="2" s="1"/>
  <c r="O148" i="2"/>
  <c r="O147" i="2"/>
  <c r="O146" i="2"/>
  <c r="O145" i="2"/>
  <c r="N144" i="2"/>
  <c r="M144" i="2"/>
  <c r="L144" i="2"/>
  <c r="K144" i="2"/>
  <c r="J144" i="2"/>
  <c r="I144" i="2"/>
  <c r="H144" i="2"/>
  <c r="I133" i="2"/>
  <c r="J133" i="2"/>
  <c r="K133" i="2"/>
  <c r="L133" i="2"/>
  <c r="M133" i="2"/>
  <c r="N133" i="2"/>
  <c r="H133" i="2"/>
  <c r="O101" i="2"/>
  <c r="O100" i="2"/>
  <c r="O99" i="2"/>
  <c r="O98" i="2"/>
  <c r="N97" i="2"/>
  <c r="M97" i="2"/>
  <c r="L97" i="2"/>
  <c r="K97" i="2"/>
  <c r="J97" i="2"/>
  <c r="I97" i="2"/>
  <c r="H97" i="2"/>
  <c r="O106" i="2"/>
  <c r="O105" i="2"/>
  <c r="O104" i="2"/>
  <c r="O103" i="2"/>
  <c r="N102" i="2"/>
  <c r="M102" i="2"/>
  <c r="L102" i="2"/>
  <c r="K102" i="2"/>
  <c r="J102" i="2"/>
  <c r="I102" i="2"/>
  <c r="H102" i="2"/>
  <c r="F85" i="2"/>
  <c r="F81" i="2" s="1"/>
  <c r="F75" i="2" s="1"/>
  <c r="F55" i="2"/>
  <c r="F49" i="2" s="1"/>
  <c r="O54" i="2"/>
  <c r="O53" i="2"/>
  <c r="O52" i="2"/>
  <c r="O51" i="2"/>
  <c r="H44" i="2"/>
  <c r="I44" i="2"/>
  <c r="J44" i="2"/>
  <c r="K44" i="2"/>
  <c r="L44" i="2"/>
  <c r="M44" i="2"/>
  <c r="F34" i="2"/>
  <c r="O10" i="2"/>
  <c r="O11" i="2"/>
  <c r="O12" i="2"/>
  <c r="O13" i="2"/>
  <c r="O15" i="2"/>
  <c r="O16" i="2"/>
  <c r="O17" i="2"/>
  <c r="O18" i="2"/>
  <c r="O20" i="2"/>
  <c r="O21" i="2"/>
  <c r="O22" i="2"/>
  <c r="O23" i="2"/>
  <c r="O25" i="2"/>
  <c r="O26" i="2"/>
  <c r="O27" i="2"/>
  <c r="O28" i="2"/>
  <c r="O30" i="2"/>
  <c r="O31" i="2"/>
  <c r="O33" i="2"/>
  <c r="O35" i="2"/>
  <c r="O36" i="2"/>
  <c r="O37" i="2"/>
  <c r="O38" i="2"/>
  <c r="O40" i="2"/>
  <c r="O42" i="2"/>
  <c r="O43" i="2"/>
  <c r="O45" i="2"/>
  <c r="O46" i="2"/>
  <c r="O47" i="2"/>
  <c r="O48" i="2"/>
  <c r="O56" i="2"/>
  <c r="O57" i="2"/>
  <c r="O58" i="2"/>
  <c r="O59" i="2"/>
  <c r="O61" i="2"/>
  <c r="O62" i="2"/>
  <c r="O63" i="2"/>
  <c r="O64" i="2"/>
  <c r="O66" i="2"/>
  <c r="O67" i="2"/>
  <c r="O68" i="2"/>
  <c r="O69" i="2"/>
  <c r="O71" i="2"/>
  <c r="O72" i="2"/>
  <c r="O73" i="2"/>
  <c r="O74" i="2"/>
  <c r="O77" i="2"/>
  <c r="O78" i="2"/>
  <c r="O79" i="2"/>
  <c r="O80" i="2"/>
  <c r="O82" i="2"/>
  <c r="O83" i="2"/>
  <c r="O84" i="2"/>
  <c r="O85" i="2"/>
  <c r="O87" i="2"/>
  <c r="O88" i="2"/>
  <c r="O89" i="2"/>
  <c r="O90" i="2"/>
  <c r="O92" i="2"/>
  <c r="O93" i="2"/>
  <c r="O94" i="2"/>
  <c r="O95" i="2"/>
  <c r="O108" i="2"/>
  <c r="O109" i="2"/>
  <c r="O110" i="2"/>
  <c r="O111" i="2"/>
  <c r="O113" i="2"/>
  <c r="O114" i="2"/>
  <c r="O115" i="2"/>
  <c r="O116" i="2"/>
  <c r="O118" i="2"/>
  <c r="O119" i="2"/>
  <c r="O120" i="2"/>
  <c r="O121" i="2"/>
  <c r="O124" i="2"/>
  <c r="O125" i="2"/>
  <c r="O126" i="2"/>
  <c r="O127" i="2"/>
  <c r="O129" i="2"/>
  <c r="O130" i="2"/>
  <c r="O131" i="2"/>
  <c r="O132" i="2"/>
  <c r="O134" i="2"/>
  <c r="O135" i="2"/>
  <c r="O136" i="2"/>
  <c r="O137" i="2"/>
  <c r="O140" i="2"/>
  <c r="O141" i="2"/>
  <c r="O142" i="2"/>
  <c r="O143" i="2"/>
  <c r="O150" i="2"/>
  <c r="O151" i="2"/>
  <c r="O153" i="2"/>
  <c r="O155" i="2"/>
  <c r="O156" i="2"/>
  <c r="O157" i="2"/>
  <c r="O158" i="2"/>
  <c r="O161" i="2"/>
  <c r="O162" i="2"/>
  <c r="O163" i="2"/>
  <c r="O164" i="2"/>
  <c r="O172" i="2"/>
  <c r="O173" i="2"/>
  <c r="O174" i="2"/>
  <c r="M9" i="2"/>
  <c r="M14" i="2"/>
  <c r="M19" i="2"/>
  <c r="M24" i="2"/>
  <c r="M29" i="2"/>
  <c r="M34" i="2"/>
  <c r="M39" i="2"/>
  <c r="M70" i="2"/>
  <c r="M76" i="2"/>
  <c r="M81" i="2"/>
  <c r="M86" i="2"/>
  <c r="M91" i="2"/>
  <c r="M107" i="2"/>
  <c r="M112" i="2"/>
  <c r="M117" i="2"/>
  <c r="M123" i="2"/>
  <c r="M128" i="2"/>
  <c r="M170" i="2"/>
  <c r="M159" i="2" s="1"/>
  <c r="M154" i="2"/>
  <c r="M149" i="2"/>
  <c r="M139" i="2"/>
  <c r="Y10" i="2" l="1"/>
  <c r="M8" i="2"/>
  <c r="E160" i="2"/>
  <c r="G160" i="2" s="1"/>
  <c r="O165" i="2"/>
  <c r="E165" i="2"/>
  <c r="G165" i="2" s="1"/>
  <c r="M138" i="2"/>
  <c r="E144" i="2"/>
  <c r="G144" i="2" s="1"/>
  <c r="F117" i="2"/>
  <c r="O144" i="2"/>
  <c r="M96" i="2"/>
  <c r="E102" i="2"/>
  <c r="G102" i="2" s="1"/>
  <c r="G133" i="2"/>
  <c r="E133" i="2" s="1"/>
  <c r="O133" i="2"/>
  <c r="E97" i="2"/>
  <c r="O97" i="2"/>
  <c r="O102" i="2"/>
  <c r="M122" i="2"/>
  <c r="E50" i="2"/>
  <c r="G50" i="2" s="1"/>
  <c r="O65" i="2"/>
  <c r="O50" i="2"/>
  <c r="M49" i="2"/>
  <c r="M75" i="2"/>
  <c r="N13" i="3"/>
  <c r="H13" i="3"/>
  <c r="J13" i="3"/>
  <c r="L13" i="3"/>
  <c r="P13" i="3"/>
  <c r="R13" i="3"/>
  <c r="T13" i="3"/>
  <c r="T12" i="3"/>
  <c r="R12" i="3"/>
  <c r="P12" i="3"/>
  <c r="N12" i="3"/>
  <c r="L12" i="3"/>
  <c r="J12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29" i="3"/>
  <c r="T28" i="3"/>
  <c r="T26" i="3"/>
  <c r="T24" i="3"/>
  <c r="T22" i="3"/>
  <c r="T21" i="3"/>
  <c r="T20" i="3"/>
  <c r="T18" i="3"/>
  <c r="T17" i="3"/>
  <c r="T16" i="3"/>
  <c r="T15" i="3"/>
  <c r="T14" i="3"/>
  <c r="R44" i="3"/>
  <c r="P44" i="3"/>
  <c r="R43" i="3"/>
  <c r="P43" i="3"/>
  <c r="R42" i="3"/>
  <c r="P42" i="3"/>
  <c r="R41" i="3"/>
  <c r="P41" i="3"/>
  <c r="R40" i="3"/>
  <c r="P40" i="3"/>
  <c r="R39" i="3"/>
  <c r="P39" i="3"/>
  <c r="R38" i="3"/>
  <c r="P38" i="3"/>
  <c r="R37" i="3"/>
  <c r="P37" i="3"/>
  <c r="R36" i="3"/>
  <c r="P36" i="3"/>
  <c r="R35" i="3"/>
  <c r="P35" i="3"/>
  <c r="R34" i="3"/>
  <c r="P34" i="3"/>
  <c r="R33" i="3"/>
  <c r="P33" i="3"/>
  <c r="R32" i="3"/>
  <c r="P32" i="3"/>
  <c r="R29" i="3"/>
  <c r="P29" i="3"/>
  <c r="R28" i="3"/>
  <c r="P28" i="3"/>
  <c r="R26" i="3"/>
  <c r="P26" i="3"/>
  <c r="R24" i="3"/>
  <c r="P24" i="3"/>
  <c r="R22" i="3"/>
  <c r="P22" i="3"/>
  <c r="R21" i="3"/>
  <c r="P21" i="3"/>
  <c r="R20" i="3"/>
  <c r="P20" i="3"/>
  <c r="R18" i="3"/>
  <c r="P18" i="3"/>
  <c r="R17" i="3"/>
  <c r="P17" i="3"/>
  <c r="R16" i="3"/>
  <c r="P16" i="3"/>
  <c r="R15" i="3"/>
  <c r="P15" i="3"/>
  <c r="R14" i="3"/>
  <c r="P14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29" i="3"/>
  <c r="N28" i="3"/>
  <c r="N26" i="3"/>
  <c r="N24" i="3"/>
  <c r="N22" i="3"/>
  <c r="N21" i="3"/>
  <c r="N20" i="3"/>
  <c r="N18" i="3"/>
  <c r="N17" i="3"/>
  <c r="N16" i="3"/>
  <c r="N15" i="3"/>
  <c r="N14" i="3"/>
  <c r="L44" i="3"/>
  <c r="J44" i="3"/>
  <c r="H44" i="3"/>
  <c r="F44" i="3"/>
  <c r="D44" i="3"/>
  <c r="L43" i="3"/>
  <c r="J43" i="3"/>
  <c r="H43" i="3"/>
  <c r="F43" i="3"/>
  <c r="D43" i="3"/>
  <c r="L42" i="3"/>
  <c r="J42" i="3"/>
  <c r="H42" i="3"/>
  <c r="F42" i="3"/>
  <c r="D42" i="3"/>
  <c r="L41" i="3"/>
  <c r="J41" i="3"/>
  <c r="H41" i="3"/>
  <c r="F41" i="3"/>
  <c r="D41" i="3"/>
  <c r="L40" i="3"/>
  <c r="J40" i="3"/>
  <c r="H40" i="3"/>
  <c r="F40" i="3"/>
  <c r="D40" i="3"/>
  <c r="L39" i="3"/>
  <c r="J39" i="3"/>
  <c r="H39" i="3"/>
  <c r="F39" i="3"/>
  <c r="D39" i="3"/>
  <c r="L38" i="3"/>
  <c r="J38" i="3"/>
  <c r="H38" i="3"/>
  <c r="F38" i="3"/>
  <c r="D38" i="3"/>
  <c r="L37" i="3"/>
  <c r="J37" i="3"/>
  <c r="H37" i="3"/>
  <c r="F37" i="3"/>
  <c r="D37" i="3"/>
  <c r="L36" i="3"/>
  <c r="J36" i="3"/>
  <c r="H36" i="3"/>
  <c r="F36" i="3"/>
  <c r="D36" i="3"/>
  <c r="L35" i="3"/>
  <c r="J35" i="3"/>
  <c r="H35" i="3"/>
  <c r="F35" i="3"/>
  <c r="D35" i="3"/>
  <c r="L34" i="3"/>
  <c r="J34" i="3"/>
  <c r="H34" i="3"/>
  <c r="F34" i="3"/>
  <c r="D34" i="3"/>
  <c r="L33" i="3"/>
  <c r="J33" i="3"/>
  <c r="H33" i="3"/>
  <c r="F33" i="3"/>
  <c r="D33" i="3"/>
  <c r="L32" i="3"/>
  <c r="J32" i="3"/>
  <c r="H32" i="3"/>
  <c r="F32" i="3"/>
  <c r="D32" i="3"/>
  <c r="L29" i="3"/>
  <c r="J29" i="3"/>
  <c r="H29" i="3"/>
  <c r="F29" i="3"/>
  <c r="L28" i="3"/>
  <c r="J28" i="3"/>
  <c r="H28" i="3"/>
  <c r="F28" i="3"/>
  <c r="L26" i="3"/>
  <c r="J26" i="3"/>
  <c r="H26" i="3"/>
  <c r="F26" i="3"/>
  <c r="L24" i="3"/>
  <c r="J24" i="3"/>
  <c r="H24" i="3"/>
  <c r="F24" i="3"/>
  <c r="L22" i="3"/>
  <c r="J22" i="3"/>
  <c r="H22" i="3"/>
  <c r="F22" i="3"/>
  <c r="L21" i="3"/>
  <c r="J21" i="3"/>
  <c r="H21" i="3"/>
  <c r="F21" i="3"/>
  <c r="L20" i="3"/>
  <c r="J20" i="3"/>
  <c r="H20" i="3"/>
  <c r="F20" i="3"/>
  <c r="H19" i="3"/>
  <c r="F19" i="3"/>
  <c r="L18" i="3"/>
  <c r="J18" i="3"/>
  <c r="L17" i="3"/>
  <c r="J17" i="3"/>
  <c r="H17" i="3"/>
  <c r="F17" i="3"/>
  <c r="L16" i="3"/>
  <c r="J16" i="3"/>
  <c r="H16" i="3"/>
  <c r="F16" i="3"/>
  <c r="L15" i="3"/>
  <c r="J15" i="3"/>
  <c r="H15" i="3"/>
  <c r="F15" i="3"/>
  <c r="L14" i="3"/>
  <c r="J14" i="3"/>
  <c r="H14" i="3"/>
  <c r="F14" i="3"/>
  <c r="F13" i="3"/>
  <c r="H12" i="3"/>
  <c r="F12" i="3"/>
  <c r="M7" i="2" l="1"/>
  <c r="G97" i="2"/>
  <c r="E117" i="2"/>
  <c r="F96" i="2"/>
  <c r="F7" i="2" s="1"/>
  <c r="S35" i="1"/>
  <c r="S27" i="1"/>
  <c r="Q35" i="1"/>
  <c r="Q27" i="1"/>
  <c r="O35" i="1"/>
  <c r="O27" i="1"/>
  <c r="M35" i="1"/>
  <c r="K35" i="1"/>
  <c r="K27" i="1"/>
  <c r="I35" i="1"/>
  <c r="I27" i="1"/>
  <c r="G35" i="1"/>
  <c r="E39" i="1"/>
  <c r="D39" i="1"/>
  <c r="G27" i="1"/>
  <c r="S24" i="1"/>
  <c r="S21" i="1"/>
  <c r="S18" i="1"/>
  <c r="S15" i="1"/>
  <c r="S12" i="1"/>
  <c r="Q24" i="1"/>
  <c r="Q21" i="1"/>
  <c r="Q18" i="1"/>
  <c r="Q15" i="1"/>
  <c r="Q12" i="1"/>
  <c r="O24" i="1"/>
  <c r="O21" i="1"/>
  <c r="O18" i="1"/>
  <c r="O15" i="1"/>
  <c r="O12" i="1"/>
  <c r="M24" i="1"/>
  <c r="M21" i="1"/>
  <c r="M18" i="1"/>
  <c r="M15" i="1"/>
  <c r="M12" i="1"/>
  <c r="K24" i="1"/>
  <c r="K21" i="1"/>
  <c r="K18" i="1"/>
  <c r="K15" i="1"/>
  <c r="K12" i="1"/>
  <c r="K11" i="1"/>
  <c r="K10" i="1"/>
  <c r="I11" i="1"/>
  <c r="M11" i="1"/>
  <c r="O11" i="1"/>
  <c r="Q11" i="1"/>
  <c r="S11" i="1"/>
  <c r="I10" i="1"/>
  <c r="M10" i="1"/>
  <c r="O10" i="1"/>
  <c r="Q10" i="1"/>
  <c r="S10" i="1"/>
  <c r="I24" i="1"/>
  <c r="I21" i="1"/>
  <c r="I18" i="1"/>
  <c r="I15" i="1"/>
  <c r="I12" i="1"/>
  <c r="G10" i="1"/>
  <c r="H10" i="1" s="1"/>
  <c r="H9" i="1"/>
  <c r="E71" i="1"/>
  <c r="E56" i="1"/>
  <c r="E44" i="1"/>
  <c r="H44" i="1" s="1"/>
  <c r="E43" i="1"/>
  <c r="H43" i="1" s="1"/>
  <c r="E42" i="1"/>
  <c r="H42" i="1" s="1"/>
  <c r="E36" i="1"/>
  <c r="E29" i="1"/>
  <c r="E27" i="1" s="1"/>
  <c r="D71" i="1"/>
  <c r="D44" i="1"/>
  <c r="D43" i="1"/>
  <c r="D42" i="1"/>
  <c r="D36" i="1"/>
  <c r="D27" i="1"/>
  <c r="J10" i="1" l="1"/>
  <c r="T10" i="1"/>
  <c r="T11" i="1"/>
  <c r="R11" i="1"/>
  <c r="R10" i="1"/>
  <c r="P11" i="1"/>
  <c r="P10" i="1"/>
  <c r="N10" i="1"/>
  <c r="N11" i="1"/>
  <c r="L11" i="1"/>
  <c r="L10" i="1"/>
  <c r="T12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45" i="1"/>
  <c r="T46" i="1"/>
  <c r="T48" i="1"/>
  <c r="T51" i="1"/>
  <c r="T52" i="1"/>
  <c r="T53" i="1"/>
  <c r="T57" i="1"/>
  <c r="T58" i="1"/>
  <c r="T59" i="1"/>
  <c r="T60" i="1"/>
  <c r="T61" i="1"/>
  <c r="T63" i="1"/>
  <c r="T64" i="1"/>
  <c r="T65" i="1"/>
  <c r="T66" i="1"/>
  <c r="T67" i="1"/>
  <c r="T68" i="1"/>
  <c r="T69" i="1"/>
  <c r="T70" i="1"/>
  <c r="T71" i="1"/>
  <c r="T72" i="1"/>
  <c r="T9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0" i="1"/>
  <c r="R45" i="1"/>
  <c r="R46" i="1"/>
  <c r="R48" i="1"/>
  <c r="R52" i="1"/>
  <c r="R53" i="1"/>
  <c r="R57" i="1"/>
  <c r="R58" i="1"/>
  <c r="R59" i="1"/>
  <c r="R60" i="1"/>
  <c r="R61" i="1"/>
  <c r="R63" i="1"/>
  <c r="R64" i="1"/>
  <c r="R65" i="1"/>
  <c r="R66" i="1"/>
  <c r="R67" i="1"/>
  <c r="R68" i="1"/>
  <c r="R69" i="1"/>
  <c r="R70" i="1"/>
  <c r="R71" i="1"/>
  <c r="R72" i="1"/>
  <c r="R9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8" i="1"/>
  <c r="P29" i="1"/>
  <c r="P30" i="1"/>
  <c r="P31" i="1"/>
  <c r="P32" i="1"/>
  <c r="P33" i="1"/>
  <c r="P34" i="1"/>
  <c r="P35" i="1"/>
  <c r="P36" i="1"/>
  <c r="P37" i="1"/>
  <c r="P38" i="1"/>
  <c r="P40" i="1"/>
  <c r="P45" i="1"/>
  <c r="P46" i="1"/>
  <c r="P48" i="1"/>
  <c r="P51" i="1"/>
  <c r="P52" i="1"/>
  <c r="P53" i="1"/>
  <c r="P57" i="1"/>
  <c r="P58" i="1"/>
  <c r="P59" i="1"/>
  <c r="P60" i="1"/>
  <c r="P61" i="1"/>
  <c r="P63" i="1"/>
  <c r="P64" i="1"/>
  <c r="P65" i="1"/>
  <c r="P66" i="1"/>
  <c r="P67" i="1"/>
  <c r="P68" i="1"/>
  <c r="P69" i="1"/>
  <c r="P70" i="1"/>
  <c r="P71" i="1"/>
  <c r="P72" i="1"/>
  <c r="P9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8" i="1"/>
  <c r="N29" i="1"/>
  <c r="N30" i="1"/>
  <c r="N31" i="1"/>
  <c r="N32" i="1"/>
  <c r="N33" i="1"/>
  <c r="N34" i="1"/>
  <c r="N35" i="1"/>
  <c r="N36" i="1"/>
  <c r="N37" i="1"/>
  <c r="N38" i="1"/>
  <c r="N40" i="1"/>
  <c r="N45" i="1"/>
  <c r="N46" i="1"/>
  <c r="N48" i="1"/>
  <c r="N51" i="1"/>
  <c r="N52" i="1"/>
  <c r="N53" i="1"/>
  <c r="N57" i="1"/>
  <c r="N58" i="1"/>
  <c r="N59" i="1"/>
  <c r="N60" i="1"/>
  <c r="N61" i="1"/>
  <c r="N63" i="1"/>
  <c r="N64" i="1"/>
  <c r="N65" i="1"/>
  <c r="N66" i="1"/>
  <c r="N67" i="1"/>
  <c r="N68" i="1"/>
  <c r="N69" i="1"/>
  <c r="N70" i="1"/>
  <c r="N72" i="1"/>
  <c r="N9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5" i="1"/>
  <c r="L46" i="1"/>
  <c r="L48" i="1"/>
  <c r="L52" i="1"/>
  <c r="L53" i="1"/>
  <c r="L57" i="1"/>
  <c r="L58" i="1"/>
  <c r="L59" i="1"/>
  <c r="L60" i="1"/>
  <c r="L61" i="1"/>
  <c r="L63" i="1"/>
  <c r="L64" i="1"/>
  <c r="L65" i="1"/>
  <c r="L66" i="1"/>
  <c r="L67" i="1"/>
  <c r="L68" i="1"/>
  <c r="L69" i="1"/>
  <c r="L70" i="1"/>
  <c r="L72" i="1"/>
  <c r="L9" i="1"/>
  <c r="J13" i="1"/>
  <c r="J14" i="1"/>
  <c r="J16" i="1"/>
  <c r="J17" i="1"/>
  <c r="J19" i="1"/>
  <c r="J20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40" i="1"/>
  <c r="J45" i="1"/>
  <c r="J46" i="1"/>
  <c r="J48" i="1"/>
  <c r="J51" i="1"/>
  <c r="J52" i="1"/>
  <c r="J53" i="1"/>
  <c r="J57" i="1"/>
  <c r="J58" i="1"/>
  <c r="J59" i="1"/>
  <c r="J60" i="1"/>
  <c r="J61" i="1"/>
  <c r="J63" i="1"/>
  <c r="J64" i="1"/>
  <c r="J65" i="1"/>
  <c r="J66" i="1"/>
  <c r="J67" i="1"/>
  <c r="J68" i="1"/>
  <c r="J69" i="1"/>
  <c r="J70" i="1"/>
  <c r="J72" i="1"/>
  <c r="H13" i="1"/>
  <c r="H14" i="1"/>
  <c r="H16" i="1"/>
  <c r="H17" i="1"/>
  <c r="H19" i="1"/>
  <c r="H20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40" i="1"/>
  <c r="H45" i="1"/>
  <c r="H46" i="1"/>
  <c r="H48" i="1"/>
  <c r="H51" i="1"/>
  <c r="H52" i="1"/>
  <c r="H53" i="1"/>
  <c r="H57" i="1"/>
  <c r="H58" i="1"/>
  <c r="H59" i="1"/>
  <c r="H60" i="1"/>
  <c r="H61" i="1"/>
  <c r="H63" i="1"/>
  <c r="H64" i="1"/>
  <c r="H65" i="1"/>
  <c r="H66" i="1"/>
  <c r="H67" i="1"/>
  <c r="H68" i="1"/>
  <c r="H69" i="1"/>
  <c r="H70" i="1"/>
  <c r="H71" i="1"/>
  <c r="H72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2" i="1"/>
  <c r="F43" i="1"/>
  <c r="F44" i="1"/>
  <c r="F45" i="1"/>
  <c r="F46" i="1"/>
  <c r="F48" i="1"/>
  <c r="F52" i="1"/>
  <c r="F53" i="1"/>
  <c r="F55" i="1"/>
  <c r="F56" i="1"/>
  <c r="F57" i="1"/>
  <c r="F58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P55" i="1"/>
  <c r="O39" i="1"/>
  <c r="M39" i="1"/>
  <c r="M27" i="1"/>
  <c r="P27" i="1" s="1"/>
  <c r="O171" i="2"/>
  <c r="Y9" i="2" s="1"/>
  <c r="N170" i="2"/>
  <c r="N159" i="2" s="1"/>
  <c r="L170" i="2"/>
  <c r="L159" i="2" s="1"/>
  <c r="K170" i="2"/>
  <c r="K159" i="2" s="1"/>
  <c r="N154" i="2"/>
  <c r="L154" i="2"/>
  <c r="K154" i="2"/>
  <c r="J154" i="2"/>
  <c r="I154" i="2"/>
  <c r="H154" i="2"/>
  <c r="N149" i="2"/>
  <c r="L149" i="2"/>
  <c r="K149" i="2"/>
  <c r="J149" i="2"/>
  <c r="I149" i="2"/>
  <c r="H149" i="2"/>
  <c r="N139" i="2"/>
  <c r="L139" i="2"/>
  <c r="K139" i="2"/>
  <c r="J139" i="2"/>
  <c r="I139" i="2"/>
  <c r="H139" i="2"/>
  <c r="N128" i="2"/>
  <c r="L128" i="2"/>
  <c r="K128" i="2"/>
  <c r="J128" i="2"/>
  <c r="I128" i="2"/>
  <c r="H128" i="2"/>
  <c r="N123" i="2"/>
  <c r="L123" i="2"/>
  <c r="K123" i="2"/>
  <c r="I123" i="2"/>
  <c r="H123" i="2"/>
  <c r="N117" i="2"/>
  <c r="L117" i="2"/>
  <c r="K117" i="2"/>
  <c r="J117" i="2"/>
  <c r="I117" i="2"/>
  <c r="H117" i="2"/>
  <c r="N112" i="2"/>
  <c r="L112" i="2"/>
  <c r="K112" i="2"/>
  <c r="J112" i="2"/>
  <c r="I112" i="2"/>
  <c r="H112" i="2"/>
  <c r="N107" i="2"/>
  <c r="L107" i="2"/>
  <c r="K107" i="2"/>
  <c r="J107" i="2"/>
  <c r="I107" i="2"/>
  <c r="H107" i="2"/>
  <c r="N91" i="2"/>
  <c r="L91" i="2"/>
  <c r="K91" i="2"/>
  <c r="J91" i="2"/>
  <c r="I91" i="2"/>
  <c r="H91" i="2"/>
  <c r="N86" i="2"/>
  <c r="L86" i="2"/>
  <c r="K86" i="2"/>
  <c r="J86" i="2"/>
  <c r="I86" i="2"/>
  <c r="H86" i="2"/>
  <c r="N81" i="2"/>
  <c r="L81" i="2"/>
  <c r="K81" i="2"/>
  <c r="J81" i="2"/>
  <c r="I81" i="2"/>
  <c r="H81" i="2"/>
  <c r="N76" i="2"/>
  <c r="L76" i="2"/>
  <c r="K76" i="2"/>
  <c r="J76" i="2"/>
  <c r="I76" i="2"/>
  <c r="H76" i="2"/>
  <c r="N70" i="2"/>
  <c r="L70" i="2"/>
  <c r="K70" i="2"/>
  <c r="K49" i="2" s="1"/>
  <c r="J70" i="2"/>
  <c r="I70" i="2"/>
  <c r="E55" i="2"/>
  <c r="N44" i="2"/>
  <c r="E44" i="2" s="1"/>
  <c r="O41" i="2"/>
  <c r="N39" i="2"/>
  <c r="O32" i="2" s="1"/>
  <c r="L39" i="2"/>
  <c r="K39" i="2"/>
  <c r="I39" i="2"/>
  <c r="H39" i="2"/>
  <c r="N34" i="2"/>
  <c r="L34" i="2"/>
  <c r="K34" i="2"/>
  <c r="J34" i="2"/>
  <c r="I34" i="2"/>
  <c r="H34" i="2"/>
  <c r="L29" i="2"/>
  <c r="K29" i="2"/>
  <c r="J29" i="2"/>
  <c r="I29" i="2"/>
  <c r="H29" i="2"/>
  <c r="N24" i="2"/>
  <c r="L24" i="2"/>
  <c r="K24" i="2"/>
  <c r="J24" i="2"/>
  <c r="I24" i="2"/>
  <c r="H24" i="2"/>
  <c r="N19" i="2"/>
  <c r="L19" i="2"/>
  <c r="K19" i="2"/>
  <c r="J19" i="2"/>
  <c r="I19" i="2"/>
  <c r="H19" i="2"/>
  <c r="N14" i="2"/>
  <c r="L14" i="2"/>
  <c r="K14" i="2"/>
  <c r="J14" i="2"/>
  <c r="I14" i="2"/>
  <c r="H14" i="2"/>
  <c r="N9" i="2"/>
  <c r="L9" i="2"/>
  <c r="K9" i="2"/>
  <c r="J9" i="2"/>
  <c r="I9" i="2"/>
  <c r="I8" i="2" l="1"/>
  <c r="H8" i="2"/>
  <c r="K8" i="2"/>
  <c r="L8" i="2"/>
  <c r="H96" i="2"/>
  <c r="L96" i="2"/>
  <c r="K138" i="2"/>
  <c r="G55" i="2"/>
  <c r="I138" i="2"/>
  <c r="N138" i="2"/>
  <c r="K96" i="2"/>
  <c r="J138" i="2"/>
  <c r="E139" i="2"/>
  <c r="H138" i="2"/>
  <c r="L138" i="2"/>
  <c r="G154" i="2"/>
  <c r="E154" i="2" s="1"/>
  <c r="N96" i="2"/>
  <c r="J96" i="2"/>
  <c r="E112" i="2"/>
  <c r="G112" i="2" s="1"/>
  <c r="G128" i="2"/>
  <c r="E128" i="2" s="1"/>
  <c r="G123" i="2"/>
  <c r="E107" i="2"/>
  <c r="I96" i="2"/>
  <c r="E91" i="2"/>
  <c r="G91" i="2" s="1"/>
  <c r="K122" i="2"/>
  <c r="K75" i="2"/>
  <c r="O123" i="2"/>
  <c r="N75" i="2"/>
  <c r="E81" i="2"/>
  <c r="E86" i="2"/>
  <c r="G86" i="2" s="1"/>
  <c r="O76" i="2"/>
  <c r="E76" i="2"/>
  <c r="E60" i="2"/>
  <c r="G60" i="2" s="1"/>
  <c r="O60" i="2"/>
  <c r="E14" i="2"/>
  <c r="G14" i="2" s="1"/>
  <c r="E24" i="2"/>
  <c r="G24" i="2" s="1"/>
  <c r="E9" i="2"/>
  <c r="E19" i="2"/>
  <c r="G19" i="2" s="1"/>
  <c r="J170" i="2"/>
  <c r="O86" i="2"/>
  <c r="O154" i="2"/>
  <c r="E65" i="2"/>
  <c r="G65" i="2" s="1"/>
  <c r="E34" i="2"/>
  <c r="G34" i="2" s="1"/>
  <c r="H122" i="2"/>
  <c r="J39" i="2"/>
  <c r="O39" i="2" s="1"/>
  <c r="O160" i="2"/>
  <c r="O19" i="2"/>
  <c r="O107" i="2"/>
  <c r="O117" i="2"/>
  <c r="E149" i="2"/>
  <c r="G149" i="2" s="1"/>
  <c r="I75" i="2"/>
  <c r="O44" i="2"/>
  <c r="O70" i="2"/>
  <c r="O81" i="2"/>
  <c r="O91" i="2"/>
  <c r="O128" i="2"/>
  <c r="O149" i="2"/>
  <c r="O139" i="2"/>
  <c r="I49" i="2"/>
  <c r="O55" i="2"/>
  <c r="N49" i="2"/>
  <c r="O112" i="2"/>
  <c r="L122" i="2"/>
  <c r="J122" i="2"/>
  <c r="O14" i="2"/>
  <c r="O9" i="2"/>
  <c r="O24" i="2"/>
  <c r="O34" i="2"/>
  <c r="N29" i="2"/>
  <c r="O29" i="2" s="1"/>
  <c r="H49" i="2"/>
  <c r="L75" i="2"/>
  <c r="I122" i="2"/>
  <c r="N122" i="2"/>
  <c r="L49" i="2"/>
  <c r="H75" i="2"/>
  <c r="P56" i="1"/>
  <c r="N27" i="1"/>
  <c r="P39" i="1"/>
  <c r="G44" i="2"/>
  <c r="J49" i="2"/>
  <c r="J75" i="2"/>
  <c r="E70" i="2"/>
  <c r="G70" i="2" s="1"/>
  <c r="K71" i="1"/>
  <c r="I71" i="1"/>
  <c r="J71" i="1" s="1"/>
  <c r="I7" i="2" l="1"/>
  <c r="H7" i="2"/>
  <c r="K7" i="2"/>
  <c r="G107" i="2"/>
  <c r="G96" i="2" s="1"/>
  <c r="E96" i="2"/>
  <c r="J8" i="2"/>
  <c r="O170" i="2"/>
  <c r="J159" i="2"/>
  <c r="O159" i="2" s="1"/>
  <c r="L7" i="2"/>
  <c r="G76" i="2"/>
  <c r="E75" i="2"/>
  <c r="E138" i="2"/>
  <c r="N8" i="2"/>
  <c r="N7" i="2" s="1"/>
  <c r="E49" i="2"/>
  <c r="E170" i="2"/>
  <c r="O138" i="2"/>
  <c r="E123" i="2"/>
  <c r="E122" i="2" s="1"/>
  <c r="G122" i="2"/>
  <c r="G49" i="2"/>
  <c r="E39" i="2"/>
  <c r="G39" i="2" s="1"/>
  <c r="G81" i="2"/>
  <c r="O75" i="2"/>
  <c r="E29" i="2"/>
  <c r="G29" i="2" s="1"/>
  <c r="G139" i="2"/>
  <c r="G138" i="2" s="1"/>
  <c r="O122" i="2"/>
  <c r="O96" i="2"/>
  <c r="O49" i="2"/>
  <c r="L71" i="1"/>
  <c r="N71" i="1"/>
  <c r="Q39" i="1"/>
  <c r="S39" i="1"/>
  <c r="K39" i="1"/>
  <c r="N39" i="1" s="1"/>
  <c r="G8" i="2" l="1"/>
  <c r="G75" i="2"/>
  <c r="J7" i="2"/>
  <c r="O7" i="2" s="1"/>
  <c r="O8" i="2"/>
  <c r="E8" i="2"/>
  <c r="G170" i="2"/>
  <c r="G159" i="2" s="1"/>
  <c r="G7" i="2" s="1"/>
  <c r="E159" i="2"/>
  <c r="J37" i="1"/>
  <c r="H37" i="1"/>
  <c r="T39" i="1"/>
  <c r="R39" i="1"/>
  <c r="E7" i="2" l="1"/>
  <c r="G11" i="1"/>
  <c r="G24" i="1"/>
  <c r="G21" i="1"/>
  <c r="G18" i="1"/>
  <c r="G15" i="1"/>
  <c r="H11" i="1" l="1"/>
  <c r="J11" i="1"/>
  <c r="J24" i="1"/>
  <c r="H24" i="1"/>
  <c r="H21" i="1"/>
  <c r="J21" i="1"/>
  <c r="J18" i="1"/>
  <c r="H18" i="1"/>
  <c r="J15" i="1"/>
  <c r="H15" i="1"/>
  <c r="N55" i="1"/>
  <c r="N56" i="1"/>
  <c r="T56" i="1" l="1"/>
  <c r="R56" i="1"/>
  <c r="T55" i="1"/>
  <c r="R55" i="1"/>
  <c r="L55" i="1"/>
  <c r="L56" i="1"/>
  <c r="F39" i="1"/>
  <c r="G39" i="1"/>
  <c r="H39" i="1" s="1"/>
  <c r="I39" i="1"/>
  <c r="L39" i="1" s="1"/>
  <c r="F9" i="1"/>
  <c r="G12" i="1"/>
  <c r="J12" i="1" l="1"/>
  <c r="H12" i="1"/>
  <c r="J39" i="1"/>
  <c r="J9" i="1"/>
  <c r="H55" i="1" l="1"/>
  <c r="J55" i="1"/>
  <c r="J56" i="1"/>
</calcChain>
</file>

<file path=xl/sharedStrings.xml><?xml version="1.0" encoding="utf-8"?>
<sst xmlns="http://schemas.openxmlformats.org/spreadsheetml/2006/main" count="554" uniqueCount="267">
  <si>
    <t>%</t>
  </si>
  <si>
    <t xml:space="preserve">Частка населених пунктів, у яких впроваджено роздільне збирання твердих побутових відходів, у загальній кількості населених пунктів об’єднаної територіальної громади  </t>
  </si>
  <si>
    <t>Частка домогосподарств, які уклали кредитні договори в рамках механізмів підтримки заходів з енергоефективності в житловому секторі за рахунок коштів державного бюджету ( у тому числі із співфінансуванням з місцевих бюджетів), у загальній кількості домогосподарств об’єднаної територіальної громади</t>
  </si>
  <si>
    <t>Частка домогосподарств, забезпечених централізованим водовідведенням, у загальній кількості домогосподарств об’єднаної територіальної громади</t>
  </si>
  <si>
    <t>Частка домогосподарств, забезпечених централізованим водопостачанням, у загальній кількості домогосподарств об’єднаної територіальної громади</t>
  </si>
  <si>
    <t>Створення комфортних умов для життя</t>
  </si>
  <si>
    <t>V</t>
  </si>
  <si>
    <t>Частка дітей, охоплених позашкільною освітою, у загальній кількості дітей шкільного віку</t>
  </si>
  <si>
    <t>Частка дітей, для яких організовано підвезення до місця навчання і додому, у загальній кількості учнів, які того потребують</t>
  </si>
  <si>
    <t>Частка випускників загальноосвітніх навчальних закладів, які отримали за результатами зовнішнього незалежного оцінювання з іноземної мови 160 балів і вище, у загальній кількості учнів, що проходили тестування з іноземної мови</t>
  </si>
  <si>
    <t>осіб</t>
  </si>
  <si>
    <t>Чисельність дітей у дошкільних навчальних закладах у розрахунку на 100 місць</t>
  </si>
  <si>
    <t>Забезпеченність населення лікарями загальної практики - сімейними лікарями на 100 осіб наявного населення на кінець року</t>
  </si>
  <si>
    <t>Частка домогосподарств, що мають доступ до мережі Інтернет, у загальній кількості домогосподарств об’єднаної територіальної громади</t>
  </si>
  <si>
    <t>Якість та доступність публічних послуг</t>
  </si>
  <si>
    <t>ІV</t>
  </si>
  <si>
    <t>грн</t>
  </si>
  <si>
    <t>Наявні доходи населення у розрахунку на 1 особу</t>
  </si>
  <si>
    <t>Обсяг надходжень до бюджету об’єднаної територіальної громади від сплати єдиного податку</t>
  </si>
  <si>
    <t>Обсяг надходжень до бюджету об’єднаної територіальної громади від сплати за землю</t>
  </si>
  <si>
    <t>Фінансова самодостатність</t>
  </si>
  <si>
    <t>ІІІ</t>
  </si>
  <si>
    <t>Рівень офіційно зареєстрованого безробіття</t>
  </si>
  <si>
    <t>одиниць</t>
  </si>
  <si>
    <t>Кількість проектів регіонального розвитку, що реалізуються на території громади</t>
  </si>
  <si>
    <t>км</t>
  </si>
  <si>
    <t>Протяжність побудованих у звітному році доріг з твердим покриттям місцевого значення</t>
  </si>
  <si>
    <t>споживчих</t>
  </si>
  <si>
    <t>виробничих сільськогосподарських</t>
  </si>
  <si>
    <t>обслуговуючих сільськогосподарських</t>
  </si>
  <si>
    <t>у тому числі:</t>
  </si>
  <si>
    <t>Кількість кооперативів на 100 осіб наявного населення</t>
  </si>
  <si>
    <t>Кількість підприємств малого та середнього бізнесу на 100 осіб наявного населення</t>
  </si>
  <si>
    <t xml:space="preserve"> грн</t>
  </si>
  <si>
    <t>Обсяг  залучених прямих іноземних інвестицій на одну особу</t>
  </si>
  <si>
    <t>у тому числі за рахунок коштів державного бюджету</t>
  </si>
  <si>
    <t>Обсяг  капітальних інвестицій на одну особу.</t>
  </si>
  <si>
    <t xml:space="preserve">Економічна ефективність </t>
  </si>
  <si>
    <t>ІІ</t>
  </si>
  <si>
    <t>Загальний коефіціент вибуття сільського населення (на 100 осіб наявного сільського населення)</t>
  </si>
  <si>
    <t>Природний приріст (скорочення) населення</t>
  </si>
  <si>
    <t>років</t>
  </si>
  <si>
    <t>Середня очікувана тривалість життя при народженні</t>
  </si>
  <si>
    <t>Демографічна ситуація</t>
  </si>
  <si>
    <t>І</t>
  </si>
  <si>
    <t>Прогноз 2022 у  % до 2021 року</t>
  </si>
  <si>
    <t>2022
Прогноз</t>
  </si>
  <si>
    <t>Прогноз 2021 у  % до 2020 року</t>
  </si>
  <si>
    <t>2021
Прогноз</t>
  </si>
  <si>
    <t>Одиниця 
виміру</t>
  </si>
  <si>
    <t>Найменування показника</t>
  </si>
  <si>
    <t>Чисельність постійного населення, в тому числі:</t>
  </si>
  <si>
    <t>жінок</t>
  </si>
  <si>
    <t>чоловіків</t>
  </si>
  <si>
    <t>Жінок</t>
  </si>
  <si>
    <t xml:space="preserve">Чоловіків </t>
  </si>
  <si>
    <t>Дівчат</t>
  </si>
  <si>
    <t>Хлопців</t>
  </si>
  <si>
    <t>* Чисельність осіб віком старше 61 року</t>
  </si>
  <si>
    <t>* Чисельність постійного населення віком від 36 - 60 років,  в тому числі:</t>
  </si>
  <si>
    <t>* Кількість дітей віком від 0 до 5 років, в тому числі:</t>
  </si>
  <si>
    <t>* Кількість дітей віком від 6 до 17 років, в тому числі:</t>
  </si>
  <si>
    <t>* Кількість молоді віком від 18 до 35 років, в тому числі:</t>
  </si>
  <si>
    <t>Чисельність людей з інвалідністю, з них</t>
  </si>
  <si>
    <t>Чоловіків</t>
  </si>
  <si>
    <t>дітей</t>
  </si>
  <si>
    <t>дівчаток</t>
  </si>
  <si>
    <t>хлопчиків</t>
  </si>
  <si>
    <t>Секретар ради                                                                                                                                                                     В.І. НЕВТРИНІС</t>
  </si>
  <si>
    <t>Внутрішньо переміщені особи, з них:</t>
  </si>
  <si>
    <t>Кількість пенсіонерів,з них:</t>
  </si>
  <si>
    <t xml:space="preserve">Перелік показників оцінки соціально-економічного </t>
  </si>
  <si>
    <t xml:space="preserve">ПЕРЕЛІК
інвестиційних проектів та заходів
щодо забезпечення виконання завдань програми 
соціально-економічного та культурного розвитку Могилівської сільської ради на 2021- 2027 роки
</t>
  </si>
  <si>
    <t>№ з/п</t>
  </si>
  <si>
    <t>Найменування об'єкта, його місцезнаходження</t>
  </si>
  <si>
    <t>Проектна потужність, відп.один.</t>
  </si>
  <si>
    <t>Загальна кошторисна вартість об’єкта, тис.грн</t>
  </si>
  <si>
    <t>Джерела фінансування</t>
  </si>
  <si>
    <t>Стислий опис проекту, соціальний ефект</t>
  </si>
  <si>
    <t>2021 рік</t>
  </si>
  <si>
    <t>2022 рік</t>
  </si>
  <si>
    <t>ВСЬОГО</t>
  </si>
  <si>
    <t>УСЬОГО</t>
  </si>
  <si>
    <t>Освіта - всього</t>
  </si>
  <si>
    <t>1 од.</t>
  </si>
  <si>
    <t>Всього</t>
  </si>
  <si>
    <t>інші джерела</t>
  </si>
  <si>
    <t xml:space="preserve">Державний бюджет </t>
  </si>
  <si>
    <t>Обласний бюджет</t>
  </si>
  <si>
    <t>Місцевий бюджет</t>
  </si>
  <si>
    <t xml:space="preserve">Виготовлення проектно-кошторисної документації та проведення капітального ремонту покрівлі Могилівської ЗОШ І-ІІ ст. </t>
  </si>
  <si>
    <t xml:space="preserve">Демонтаж існуюючої покрівлі та встановлення нової - шатрової скатної.     Для покращення умов функціонування загальноосвітнього навчального закладу на 120 місць        </t>
  </si>
  <si>
    <t>640 місць планова потужність</t>
  </si>
  <si>
    <t>120 місць планова потужність</t>
  </si>
  <si>
    <t xml:space="preserve">Для покращення умов функціонування загальноосвітнього навчального закладу на 120 місць        </t>
  </si>
  <si>
    <t>Енергозберігаючі заходи - реконструкція дитячого садка "Ромашка" по вул.Панікахи,8 в с.Могилів Царичанського району Дніпропетровської області</t>
  </si>
  <si>
    <t>90 місць планова потужність</t>
  </si>
  <si>
    <t>Заміна дерев’яних віконних та дверних блоків на металопластикові. Ремонт, заміна внутрішнього облицювання стін. Для покращення умов функціонування  Могилівського дошкільного навчального закладу на 90 місць</t>
  </si>
  <si>
    <t>640 місць</t>
  </si>
  <si>
    <t>Оновлення матеріально-технічної бази закладів</t>
  </si>
  <si>
    <t xml:space="preserve">Оснащення, придбання сучасного обладнання та інвентарю для шкільних та дошкільних закладів громади </t>
  </si>
  <si>
    <r>
      <t>Охорона здоров</t>
    </r>
    <r>
      <rPr>
        <b/>
        <sz val="11"/>
        <rFont val="Arial Cyr"/>
        <charset val="204"/>
      </rPr>
      <t>’</t>
    </r>
    <r>
      <rPr>
        <b/>
        <sz val="11"/>
        <rFont val="Times New Roman"/>
        <family val="1"/>
        <charset val="204"/>
      </rPr>
      <t>я - всього</t>
    </r>
  </si>
  <si>
    <t>Дооснащення закладів первинної медико-санітарної допомоги Могилівської ОТГ відповідно до табелів матеріально-технічного оснащення</t>
  </si>
  <si>
    <t>Капітальний ремонт будівлі Проточанського фельдшерсько-акушерського пункту, розташованого за адресою:  с. Проточі Царичанського району</t>
  </si>
  <si>
    <t>Капітальний ремонт основних конструкцій будівлі ФАПу. Заміна віконних та дверних блоків на металопластикові.  Посилення фундаменту. Утеплення фасаду. Облаштування електроопалення. Поліпшення якості надання медичних послуг населенню - 200  осіб</t>
  </si>
  <si>
    <t>Культура та туризм - всього</t>
  </si>
  <si>
    <t>Проведення комплексу робіт для забезпечення збереження основних конструкцій будівлі, облаштування системи опалення, ремонт внутрішніх приміщень та перекладка стін, заміна вікон і дверей. Відновлення роботи спортивних гуртків</t>
  </si>
  <si>
    <t>"Реконструкція Могилівського сільського будинку культури з облаштуванням території за адресою : с. Могилів, Царичанського району, Дніпропетровської області"</t>
  </si>
  <si>
    <t>ЖКГ - всього</t>
  </si>
  <si>
    <t>Поточний ремонт доріг комунальної власності</t>
  </si>
  <si>
    <t xml:space="preserve">Покращення  стану вулично-дорожнього покриття населених пунктів. </t>
  </si>
  <si>
    <t>Інші джерела</t>
  </si>
  <si>
    <t>Придбання ігрових та спортивних майданчиків</t>
  </si>
  <si>
    <t>од.</t>
  </si>
  <si>
    <t xml:space="preserve">Буде встановлено 2 ігрових та 2 спортивних майданчика
</t>
  </si>
  <si>
    <t>Облаштування зупинок громадського транспорту</t>
  </si>
  <si>
    <t>3 од.</t>
  </si>
  <si>
    <t xml:space="preserve">Підвищення безпеку людей на зупинках громадського транспорту.
</t>
  </si>
  <si>
    <t>146 км</t>
  </si>
  <si>
    <t xml:space="preserve">Буде замінено146 км електромережі вуличного освітлення та встановлено 5000 світлоточки  по вулиці Дніпропетровська с.Могилів. Забезпечення безпечного пересування учасників дорожнього руху
</t>
  </si>
  <si>
    <t>Охорона природного навколишнього середовища - всього</t>
  </si>
  <si>
    <t>Придбання спецтехніки</t>
  </si>
  <si>
    <t xml:space="preserve">Покращення санітарного стану населених пунктів та недопущення виникнення несанкціонованих МВВ          </t>
  </si>
  <si>
    <t xml:space="preserve">
Придбання контейнерів для твердих побутових відходів 
</t>
  </si>
  <si>
    <t xml:space="preserve"> Упередження виникнення несанкціонованих сміттєзвалищ та засмічення територій населених пунктів            </t>
  </si>
  <si>
    <t>Соціальний захист населення - всього</t>
  </si>
  <si>
    <t>Надання матеріально-технічної допомоги громадянам</t>
  </si>
  <si>
    <t>Покращення рівня надання соціальних послуг з урахуванням потреб громадян</t>
  </si>
  <si>
    <t>Створення центру безпеки громадян</t>
  </si>
  <si>
    <t xml:space="preserve">Будівництво окремого приміщення в якому будуть розміщені: пожежно-рятувальна команда., швидка медична допомога, пункт охорони правопорядку </t>
  </si>
  <si>
    <t>10 ліжкомісць</t>
  </si>
  <si>
    <t xml:space="preserve">Ремонт та облаштування кімнат приміщення на 10 ліжкомісць. Облаштування системи опалення. Заміна вікон та дверей на металопластикові.  Покращення рівня надання соціальних послуг з урахуванням потреб осіб похилого віку, самотніх осіб, учасників АТО, внутрішньо переміщених осіб, ветеранів війни, інвалідів та людей, які опинилися в складних життєвих умовах. Створення умов для адаптації учасників АТО та внутрішньо переміщених осіб
</t>
  </si>
  <si>
    <t>Грантові  проекти розвитку - всього</t>
  </si>
  <si>
    <t>"Створення технічної бази для функціонування комунального підприємства "Джерело"</t>
  </si>
  <si>
    <t>Покращення технічного оснащення комунального підприємства з метою надання якісних послуг населенню у сфері ЖКГ</t>
  </si>
  <si>
    <t>"Забезпечення розвитку ягідної кооперації на території громади"</t>
  </si>
  <si>
    <t>Будівництво холодильного комплексу для забезпечення розвитку СОК "Перший ягідний"</t>
  </si>
  <si>
    <t>розвитку  Могилівської сільської ради</t>
  </si>
  <si>
    <t xml:space="preserve">                                                  
 ДОДАТОК
 до рішення  Могилівської сільської ради
 від __________2020 року № ____/VIIІ 
</t>
  </si>
  <si>
    <t xml:space="preserve">ДОДАТОК
 до рішення  Могилівської сільської ради
 від __________2020 року № ____/VIIІ 
</t>
  </si>
  <si>
    <t>2019              факт</t>
  </si>
  <si>
    <t>2020               очікуване</t>
  </si>
  <si>
    <t>2019 у % до 2020 року</t>
  </si>
  <si>
    <t>2023
Прогноз</t>
  </si>
  <si>
    <t>Прогноз 2023 у  % до 2022 року</t>
  </si>
  <si>
    <t>2024
Прогноз</t>
  </si>
  <si>
    <t>Прогноз 2024 у  % до 2023 року</t>
  </si>
  <si>
    <t>2025
Прогноз</t>
  </si>
  <si>
    <t>Прогноз 2025 у  % до 2024 року</t>
  </si>
  <si>
    <t>2026
Прогноз</t>
  </si>
  <si>
    <t>Прогноз 2026 у  % до 2025 року</t>
  </si>
  <si>
    <t>2027
Прогноз</t>
  </si>
  <si>
    <t>Прогноз 2027 у  % до 2026 року</t>
  </si>
  <si>
    <t>Доходи бюджету територіальної громади (без трансфертів) на 1 особу</t>
  </si>
  <si>
    <t>Капітальні видатки бюджету територіальної громади (без трансфертів) на 1 особу</t>
  </si>
  <si>
    <t>Обсяг надходжень до бюджету територіальної громади від сплати податку на доходи фізичних осіб</t>
  </si>
  <si>
    <t>Обсяг надходжень до бюджету  територіальної громади від сплати акцизного податку</t>
  </si>
  <si>
    <t>ОСНОВНІ ПОКАЗНИКИ</t>
  </si>
  <si>
    <t>соціально-економічного та культурного розвитку області</t>
  </si>
  <si>
    <t>Показник</t>
  </si>
  <si>
    <t>од. 
виміру</t>
  </si>
  <si>
    <t>2019
Факт</t>
  </si>
  <si>
    <t>% до 2018 року</t>
  </si>
  <si>
    <t>2020
Очікуване</t>
  </si>
  <si>
    <t>% до 2019 року</t>
  </si>
  <si>
    <t>% до 2010 року</t>
  </si>
  <si>
    <t>% до 2021 року</t>
  </si>
  <si>
    <t>% до 2022 року</t>
  </si>
  <si>
    <t xml:space="preserve">Чисельність населення станом на 01 січня 2019 року, осіб, у тому числі дітей: </t>
  </si>
  <si>
    <t xml:space="preserve">дошкільного віку </t>
  </si>
  <si>
    <t>шкільного віку</t>
  </si>
  <si>
    <t>Обсяг доходів (розрахунковий) спроможної територіальної громади, усього, у тому числі:</t>
  </si>
  <si>
    <t>тис. грн</t>
  </si>
  <si>
    <t>сформованих відповідно до ст. 64 Бюджетного кодексу України</t>
  </si>
  <si>
    <t>бюджету розвитку</t>
  </si>
  <si>
    <t>базової дотації</t>
  </si>
  <si>
    <t>реверсної дотації</t>
  </si>
  <si>
    <t>Кількість закладів, що утримуються за рахунок бюджету органів місцевого самоврядування, усього,  у тому числі:</t>
  </si>
  <si>
    <t>загальноосвітніх навчальних закладів I – III ступенів</t>
  </si>
  <si>
    <t>загальноосвітніх навчальних закладів I – ІI ступенів</t>
  </si>
  <si>
    <t>загальноосвітніх навчальних закладів I ступеня</t>
  </si>
  <si>
    <t>дошкільних навчальних закладів</t>
  </si>
  <si>
    <t xml:space="preserve">закладів позашкільної освіти </t>
  </si>
  <si>
    <t xml:space="preserve">закладів культури </t>
  </si>
  <si>
    <t>закладів фізичної культури</t>
  </si>
  <si>
    <t>фельдшерсько-акушерських пунктів</t>
  </si>
  <si>
    <t>амбулаторій, поліклінік</t>
  </si>
  <si>
    <t>лікарень</t>
  </si>
  <si>
    <t>станцій швидкої допомоги</t>
  </si>
  <si>
    <t xml:space="preserve">Наявність приміщень для розміщення державних органів, установ, що здійснюють повноваження щодо: </t>
  </si>
  <si>
    <t>правоохоронної діяльності</t>
  </si>
  <si>
    <t>реєстрації актів цивільного стану та майнових прав</t>
  </si>
  <si>
    <t xml:space="preserve">пенсійного забезпечення </t>
  </si>
  <si>
    <t>соціального захисту</t>
  </si>
  <si>
    <t>пожежної безпеки</t>
  </si>
  <si>
    <t>казначейського обслуговування</t>
  </si>
  <si>
    <t>Наявність приміщень для розміщення органів місцевого самоврядування, усього, одиниць</t>
  </si>
  <si>
    <t>Кількість сільськогосподарських об'єктів виробничого призначення</t>
  </si>
  <si>
    <t>Земельний фонд</t>
  </si>
  <si>
    <t>тис. га</t>
  </si>
  <si>
    <t>Площа сільськогосподарських угідь</t>
  </si>
  <si>
    <t>Кількість котелень</t>
  </si>
  <si>
    <t xml:space="preserve">Тепломережі </t>
  </si>
  <si>
    <t>Підключення населених пунктів до централізованого водозабезпечення</t>
  </si>
  <si>
    <t>тис. осіб</t>
  </si>
  <si>
    <t>Могилівської сільської ради</t>
  </si>
  <si>
    <t>% до 2023 року</t>
  </si>
  <si>
    <t>% до 2026 року</t>
  </si>
  <si>
    <t>% до 2025 року</t>
  </si>
  <si>
    <t>% до 2024 року</t>
  </si>
  <si>
    <t xml:space="preserve">Реконструкція теплових мереж з влаштуванням модульної твердопалевної котельні для опалення ЗОШ І-ІІІ ступенів імені Героя Радянського Союзу І.М. Шишканя  </t>
  </si>
  <si>
    <t xml:space="preserve">Обсяг фінансування , тис.грн </t>
  </si>
  <si>
    <t>2023 рік</t>
  </si>
  <si>
    <t>2024 рік</t>
  </si>
  <si>
    <t>2025 рік</t>
  </si>
  <si>
    <t>2026 рік</t>
  </si>
  <si>
    <t>2027 рік</t>
  </si>
  <si>
    <t>Будівництво котельні та реконструкція системи опалення. Покращення умов навчального процесу 203 дітей.</t>
  </si>
  <si>
    <t>профінансовано</t>
  </si>
  <si>
    <t>залишок на 01.01.2021 (з урахуванням  кредиторської заборгованості)</t>
  </si>
  <si>
    <t>Рік початку і закін-чення будів-ництва</t>
  </si>
  <si>
    <t xml:space="preserve">Енергозберігаючі заходи: утеплення фасаду та капітальний ремонт системи опалення ОКЗ "Могилівської ЗОШ І-ІІІ ступенів імені Героя Радянського Союзу І.М. Шишканя" </t>
  </si>
  <si>
    <t>Вжиття заходів з енергозбереження для економії енергоресурсів та покращення функціонування навчольного закладу на 640 місць</t>
  </si>
  <si>
    <t>2021-2027</t>
  </si>
  <si>
    <t>7                 комплектів</t>
  </si>
  <si>
    <t>Придбання спеціалізованого обладнання для профільних кабінетів ЗНЗ</t>
  </si>
  <si>
    <t>Забезпечення засобами навчання та обладнання профільних кабінетів біології, географії, математики, фізики та хімії загальноосвітніх навчальних закладів, враховуючи вимоги новітніх технологій викладання предметів природничого циклу.
Дотримання єдиних підходів і вимог до рівня надання освітніх послуг природничо-математичного напряму та рівні умови здобуття освіти для всіх учнів.</t>
  </si>
  <si>
    <t>Поточний ремонт приміщення спортивного/музичного залів Могилівської ЗОШ І-ІІ ст.</t>
  </si>
  <si>
    <t>Придбання шкільних автобусів</t>
  </si>
  <si>
    <t>2021-2025</t>
  </si>
  <si>
    <t>Забезпечення підвозу дітей та вчителів до місць навчання</t>
  </si>
  <si>
    <t>Оновлення матеріально-технічної бази закладів освіти</t>
  </si>
  <si>
    <t>Будівництво амбулаторії на 2 лікаря без житла за адресою: Дніпропетровська область, Царичанський район, с. Могилів, вул.Харківська, 20а</t>
  </si>
  <si>
    <t>Створення власного закладу первинної медичної (медико-санітарної) допомоги з урахуванням потреб громади</t>
  </si>
  <si>
    <t>Оформленя пакету установчих та ліцензійних документів для забезпечення діяльності закладу первинної медичної (медико-санітарної) допомоги для забезпечення якісними медичними послугами населення громади. Покращення медпослуг, які надаються 6300 мешканцям</t>
  </si>
  <si>
    <t>2020- 2021</t>
  </si>
  <si>
    <t>Здійснення заходів, спрямованих на розвиток системи охорони здоров’я у сільській місцевості. Забезпечення гідних умов надання медичних послуг з урахуванням потреб населення громади.</t>
  </si>
  <si>
    <t>Капітальний ремонт основних конструкцій будівлі медичного закладу.   Посилення фундаменту. Утеплення фасаду. Облаштування електроопалення. Поліпшення якості надання медичних послуг населенню - 1147  осіб</t>
  </si>
  <si>
    <t>Капітальний ремонт будівлі                             КЗ "Новопідкрязька АЗПСМ"</t>
  </si>
  <si>
    <t xml:space="preserve">Капітальний ремонт  Новопідкрязького Будинку Культури 
</t>
  </si>
  <si>
    <t xml:space="preserve">Капітальний ремонт  Цибульківського Будинку Культури </t>
  </si>
  <si>
    <t xml:space="preserve">Оснащення, придбання сучасного обладнання та інвентарю для клубних  закладів громади </t>
  </si>
  <si>
    <t>2017-2026</t>
  </si>
  <si>
    <t>всього</t>
  </si>
  <si>
    <r>
      <t xml:space="preserve">Виготовлення проектно-кошторисної документації. Проведення комплексу ремонтних робіт по збереженню основних конструкцій будівлі, облаштування системи опалення, ремонт покрівлі та внутрішніх приміщень. Зміцнення матеріально-технічної бази для повноцінного функціонування закладу культури на </t>
    </r>
    <r>
      <rPr>
        <sz val="9"/>
        <color rgb="FFFF0000"/>
        <rFont val="Times New Roman"/>
        <family val="1"/>
        <charset val="204"/>
      </rPr>
      <t>300</t>
    </r>
    <r>
      <rPr>
        <sz val="9"/>
        <rFont val="Times New Roman"/>
        <family val="1"/>
        <charset val="204"/>
      </rPr>
      <t xml:space="preserve"> місць </t>
    </r>
  </si>
  <si>
    <r>
      <t xml:space="preserve">Виготовлення ПКД. Проведення комплексу робіт для забезпечення збереження основних конструкцій будівлі, облаштування системи опалення, ремонт покрівлі та внутрішніх приміщень. Зміцнення матеріально-технічної бази для повноцінного функціонування закладу культури на </t>
    </r>
    <r>
      <rPr>
        <sz val="9"/>
        <color rgb="FFFF0000"/>
        <rFont val="Times New Roman"/>
        <family val="1"/>
        <charset val="204"/>
      </rPr>
      <t>300</t>
    </r>
    <r>
      <rPr>
        <sz val="9"/>
        <rFont val="Times New Roman"/>
        <family val="1"/>
        <charset val="204"/>
      </rPr>
      <t xml:space="preserve"> місць</t>
    </r>
  </si>
  <si>
    <t>Капітальний ремонт доріг комунальної власності</t>
  </si>
  <si>
    <t>"Реконструкція мережі вуличного освітлення Могилівської територіальної громади"</t>
  </si>
  <si>
    <t>2018 - 2027</t>
  </si>
  <si>
    <t>4 од.</t>
  </si>
  <si>
    <t>кв.м</t>
  </si>
  <si>
    <t xml:space="preserve"> кв.м</t>
  </si>
  <si>
    <t xml:space="preserve">Придбання сміттєвозу 
</t>
  </si>
  <si>
    <t>2022-2027</t>
  </si>
  <si>
    <t xml:space="preserve">Покращення матеріально-технічної бази КП "Джерело". Упорядкування та благоустрій територій населених пунктів  громади.        </t>
  </si>
  <si>
    <t>30 од.</t>
  </si>
  <si>
    <t>2016-2021</t>
  </si>
  <si>
    <t> Реконструкція паркової зони по вулиці Центральна в селі Могилів (район Могилівської філії ЗОШ І-ІІ ст. ОКЗ "Могилівська ЗОШ І-ІІІ ст. ім. І.М. Шишканя)</t>
  </si>
  <si>
    <t>6100 чол.</t>
  </si>
  <si>
    <t>2022-2023</t>
  </si>
  <si>
    <t>Створення реабілітаційного центру адаптації "Інновація" (Капітальний ремонт адміністративної будівлі за адресою: вул. Центральна,58А, с. Могилів, Царичанського району, Дніпропетровської області, з метою відкриття на базі КЗ "ТЦСО (НСП)" МСР відділення надання реабілітаційної допомоги)</t>
  </si>
  <si>
    <t>1470 осіб</t>
  </si>
  <si>
    <t xml:space="preserve">Підвищення загального рівня життя мешканців територіальної громади та підвищення стандартів життя в сільській місцевості. Реконструкція та благоустрій  території паркової зони; облаштування центральної площі для проведення громадських та культурно-масових заходів </t>
  </si>
  <si>
    <t>2018-2021</t>
  </si>
  <si>
    <t xml:space="preserve"> "Єднання об’єднаних"</t>
  </si>
  <si>
    <t>2021-2022</t>
  </si>
  <si>
    <t xml:space="preserve">Проект «Єднання об’єднаних» є спільним проектом об’єднаних територіальних громад, утворених у 2015-2016 роках. Основною метою проекту є налагодження горизонтальних зв’язків, культурного обміну та формування національної ідентичності на основі спільних рис, притаманних українцям: самоорганізації, підприємливості, схожого побуту та кухні, мистецтва. Діяльність за проектом буде орієнтована на кліматичні та природні особливості територій-учасників, відповідно відбуватиметься сезонно:
- січень-лютий Вашківецька та Вижницька ОТГ (Чернівецька область);
- квітень-травень Могилівська ОТГ (Дніпропетровська область);
- червень-липень Кочубеївська ОТГ(Херсонська область);
- вересень-жовтень Семенівська ОТГ(Полтавська область)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</si>
</sst>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3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theme="9" tint="-0.249977111117893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3" fillId="0" borderId="0"/>
    <xf numFmtId="0" fontId="20" fillId="0" borderId="0"/>
    <xf numFmtId="0" fontId="20" fillId="0" borderId="0"/>
    <xf numFmtId="0" fontId="15" fillId="0" borderId="0"/>
  </cellStyleXfs>
  <cellXfs count="19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/>
    <xf numFmtId="0" fontId="7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165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7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top" wrapText="1"/>
    </xf>
    <xf numFmtId="0" fontId="19" fillId="3" borderId="10" xfId="1" applyFont="1" applyFill="1" applyBorder="1" applyAlignment="1">
      <alignment horizontal="center" vertical="center" wrapText="1"/>
    </xf>
    <xf numFmtId="0" fontId="19" fillId="3" borderId="11" xfId="1" applyFont="1" applyFill="1" applyBorder="1" applyAlignment="1">
      <alignment horizontal="center" vertical="center" wrapText="1"/>
    </xf>
    <xf numFmtId="166" fontId="19" fillId="3" borderId="11" xfId="1" applyNumberFormat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18" fillId="3" borderId="0" xfId="1" applyFont="1" applyFill="1" applyAlignment="1">
      <alignment horizontal="center" vertical="center" wrapText="1"/>
    </xf>
    <xf numFmtId="0" fontId="19" fillId="4" borderId="15" xfId="1" applyFont="1" applyFill="1" applyBorder="1" applyAlignment="1">
      <alignment vertical="center"/>
    </xf>
    <xf numFmtId="166" fontId="19" fillId="4" borderId="15" xfId="1" applyNumberFormat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166" fontId="18" fillId="3" borderId="15" xfId="1" applyNumberFormat="1" applyFont="1" applyFill="1" applyBorder="1" applyAlignment="1">
      <alignment horizontal="center" vertical="center" wrapText="1"/>
    </xf>
    <xf numFmtId="0" fontId="17" fillId="3" borderId="15" xfId="1" applyFont="1" applyFill="1" applyBorder="1" applyAlignment="1">
      <alignment horizontal="center" vertical="center" wrapText="1"/>
    </xf>
    <xf numFmtId="166" fontId="17" fillId="3" borderId="15" xfId="1" applyNumberFormat="1" applyFont="1" applyFill="1" applyBorder="1" applyAlignment="1">
      <alignment horizontal="center" vertical="center" wrapText="1"/>
    </xf>
    <xf numFmtId="166" fontId="17" fillId="2" borderId="14" xfId="1" applyNumberFormat="1" applyFont="1" applyFill="1" applyBorder="1" applyAlignment="1">
      <alignment horizontal="center" vertical="center" wrapText="1"/>
    </xf>
    <xf numFmtId="166" fontId="18" fillId="2" borderId="14" xfId="1" applyNumberFormat="1" applyFont="1" applyFill="1" applyBorder="1" applyAlignment="1">
      <alignment horizontal="center" vertical="center" wrapText="1"/>
    </xf>
    <xf numFmtId="2" fontId="19" fillId="4" borderId="14" xfId="4" applyNumberFormat="1" applyFont="1" applyFill="1" applyBorder="1" applyAlignment="1">
      <alignment horizontal="left" vertical="center" wrapText="1"/>
    </xf>
    <xf numFmtId="0" fontId="18" fillId="4" borderId="15" xfId="1" applyFont="1" applyFill="1" applyBorder="1" applyAlignment="1">
      <alignment horizontal="center" vertical="center" wrapText="1"/>
    </xf>
    <xf numFmtId="0" fontId="17" fillId="4" borderId="16" xfId="1" applyFont="1" applyFill="1" applyBorder="1" applyAlignment="1">
      <alignment vertical="center" wrapText="1"/>
    </xf>
    <xf numFmtId="166" fontId="17" fillId="3" borderId="14" xfId="4" applyNumberFormat="1" applyFont="1" applyFill="1" applyBorder="1" applyAlignment="1">
      <alignment horizontal="center" vertical="center" wrapText="1"/>
    </xf>
    <xf numFmtId="166" fontId="18" fillId="3" borderId="14" xfId="4" applyNumberFormat="1" applyFont="1" applyFill="1" applyBorder="1" applyAlignment="1">
      <alignment horizontal="center" vertical="center" wrapText="1"/>
    </xf>
    <xf numFmtId="0" fontId="19" fillId="4" borderId="15" xfId="1" applyFont="1" applyFill="1" applyBorder="1" applyAlignment="1">
      <alignment horizontal="left" vertical="center"/>
    </xf>
    <xf numFmtId="167" fontId="19" fillId="4" borderId="15" xfId="1" applyNumberFormat="1" applyFont="1" applyFill="1" applyBorder="1" applyAlignment="1">
      <alignment horizontal="left" vertical="center"/>
    </xf>
    <xf numFmtId="0" fontId="22" fillId="4" borderId="15" xfId="1" applyFont="1" applyFill="1" applyBorder="1" applyAlignment="1">
      <alignment horizontal="left" vertical="center" wrapText="1"/>
    </xf>
    <xf numFmtId="0" fontId="17" fillId="4" borderId="18" xfId="1" applyFont="1" applyFill="1" applyBorder="1" applyAlignment="1">
      <alignment horizontal="center" vertical="center" wrapText="1"/>
    </xf>
    <xf numFmtId="166" fontId="17" fillId="3" borderId="0" xfId="1" applyNumberFormat="1" applyFont="1" applyFill="1" applyAlignment="1">
      <alignment horizontal="center" vertical="center" wrapText="1"/>
    </xf>
    <xf numFmtId="0" fontId="22" fillId="4" borderId="15" xfId="1" applyFont="1" applyFill="1" applyBorder="1" applyAlignment="1">
      <alignment horizontal="center" vertical="center" wrapText="1"/>
    </xf>
    <xf numFmtId="166" fontId="17" fillId="4" borderId="18" xfId="1" applyNumberFormat="1" applyFont="1" applyFill="1" applyBorder="1" applyAlignment="1">
      <alignment horizontal="center" vertical="center" wrapText="1"/>
    </xf>
    <xf numFmtId="2" fontId="18" fillId="3" borderId="15" xfId="1" applyNumberFormat="1" applyFont="1" applyFill="1" applyBorder="1" applyAlignment="1">
      <alignment horizontal="center" vertical="center" wrapText="1"/>
    </xf>
    <xf numFmtId="2" fontId="17" fillId="3" borderId="15" xfId="1" applyNumberFormat="1" applyFont="1" applyFill="1" applyBorder="1" applyAlignment="1">
      <alignment horizontal="center" vertical="center" wrapText="1"/>
    </xf>
    <xf numFmtId="2" fontId="18" fillId="2" borderId="15" xfId="1" applyNumberFormat="1" applyFont="1" applyFill="1" applyBorder="1" applyAlignment="1">
      <alignment horizontal="center" vertical="center" wrapText="1"/>
    </xf>
    <xf numFmtId="0" fontId="23" fillId="3" borderId="0" xfId="1" applyFont="1" applyFill="1" applyAlignment="1">
      <alignment horizontal="center" vertical="center" wrapText="1"/>
    </xf>
    <xf numFmtId="0" fontId="24" fillId="3" borderId="0" xfId="1" applyFont="1" applyFill="1" applyAlignment="1">
      <alignment horizontal="center"/>
    </xf>
    <xf numFmtId="0" fontId="25" fillId="3" borderId="0" xfId="1" applyFont="1" applyFill="1" applyAlignment="1">
      <alignment horizontal="left"/>
    </xf>
    <xf numFmtId="0" fontId="4" fillId="3" borderId="0" xfId="1" applyFill="1" applyAlignment="1">
      <alignment horizontal="left"/>
    </xf>
    <xf numFmtId="0" fontId="26" fillId="3" borderId="0" xfId="1" applyFont="1" applyFill="1" applyAlignment="1">
      <alignment horizontal="center" vertical="center" wrapText="1"/>
    </xf>
    <xf numFmtId="166" fontId="17" fillId="4" borderId="15" xfId="1" applyNumberFormat="1" applyFont="1" applyFill="1" applyBorder="1" applyAlignment="1">
      <alignment horizontal="center" vertical="center" wrapText="1"/>
    </xf>
    <xf numFmtId="166" fontId="18" fillId="2" borderId="15" xfId="1" applyNumberFormat="1" applyFont="1" applyFill="1" applyBorder="1" applyAlignment="1">
      <alignment horizontal="center" vertical="center" wrapText="1"/>
    </xf>
    <xf numFmtId="166" fontId="19" fillId="2" borderId="15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left" vertical="center" wrapText="1"/>
    </xf>
    <xf numFmtId="0" fontId="4" fillId="3" borderId="0" xfId="1" applyFill="1"/>
    <xf numFmtId="0" fontId="27" fillId="0" borderId="0" xfId="0" applyFont="1"/>
    <xf numFmtId="0" fontId="28" fillId="0" borderId="3" xfId="0" applyFont="1" applyFill="1" applyBorder="1" applyAlignment="1">
      <alignment wrapText="1"/>
    </xf>
    <xf numFmtId="164" fontId="29" fillId="2" borderId="1" xfId="0" applyNumberFormat="1" applyFont="1" applyFill="1" applyBorder="1" applyAlignment="1">
      <alignment horizontal="centerContinuous" vertical="center" wrapText="1"/>
    </xf>
    <xf numFmtId="3" fontId="29" fillId="2" borderId="1" xfId="0" applyNumberFormat="1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29" fillId="0" borderId="0" xfId="0" applyFont="1"/>
    <xf numFmtId="0" fontId="16" fillId="0" borderId="0" xfId="0" applyFont="1"/>
    <xf numFmtId="164" fontId="28" fillId="0" borderId="1" xfId="0" applyNumberFormat="1" applyFont="1" applyFill="1" applyBorder="1" applyAlignment="1">
      <alignment horizontal="centerContinuous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2" fillId="0" borderId="0" xfId="0" applyNumberFormat="1" applyFont="1"/>
    <xf numFmtId="0" fontId="5" fillId="0" borderId="1" xfId="0" applyFont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166" fontId="17" fillId="2" borderId="17" xfId="1" applyNumberFormat="1" applyFont="1" applyFill="1" applyBorder="1" applyAlignment="1">
      <alignment horizontal="center" vertical="center" wrapText="1"/>
    </xf>
    <xf numFmtId="166" fontId="17" fillId="2" borderId="15" xfId="1" applyNumberFormat="1" applyFont="1" applyFill="1" applyBorder="1" applyAlignment="1">
      <alignment horizontal="center" vertical="center" wrapText="1"/>
    </xf>
    <xf numFmtId="0" fontId="17" fillId="3" borderId="17" xfId="1" applyFont="1" applyFill="1" applyBorder="1" applyAlignment="1">
      <alignment horizontal="center" vertical="center" wrapText="1"/>
    </xf>
    <xf numFmtId="0" fontId="19" fillId="4" borderId="12" xfId="1" applyFont="1" applyFill="1" applyBorder="1" applyAlignment="1">
      <alignment horizontal="left" vertical="top"/>
    </xf>
    <xf numFmtId="0" fontId="19" fillId="4" borderId="13" xfId="1" applyFont="1" applyFill="1" applyBorder="1" applyAlignment="1">
      <alignment horizontal="left" vertical="top"/>
    </xf>
    <xf numFmtId="0" fontId="17" fillId="2" borderId="16" xfId="3" applyFont="1" applyFill="1" applyBorder="1" applyAlignment="1">
      <alignment horizontal="center" vertical="center" wrapText="1"/>
    </xf>
    <xf numFmtId="0" fontId="17" fillId="2" borderId="17" xfId="3" applyFont="1" applyFill="1" applyBorder="1" applyAlignment="1">
      <alignment horizontal="center" vertical="center" wrapText="1"/>
    </xf>
    <xf numFmtId="0" fontId="17" fillId="2" borderId="18" xfId="3" applyFont="1" applyFill="1" applyBorder="1" applyAlignment="1">
      <alignment horizontal="center" vertical="center" wrapText="1"/>
    </xf>
    <xf numFmtId="0" fontId="17" fillId="3" borderId="17" xfId="4" applyFont="1" applyFill="1" applyBorder="1" applyAlignment="1">
      <alignment horizontal="center" vertical="center" wrapText="1"/>
    </xf>
    <xf numFmtId="0" fontId="17" fillId="3" borderId="17" xfId="1" applyNumberFormat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2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4" fontId="5" fillId="2" borderId="1" xfId="0" applyNumberFormat="1" applyFont="1" applyFill="1" applyBorder="1" applyAlignment="1">
      <alignment horizontal="center" vertical="center" wrapText="1"/>
    </xf>
    <xf numFmtId="166" fontId="17" fillId="4" borderId="16" xfId="1" applyNumberFormat="1" applyFont="1" applyFill="1" applyBorder="1" applyAlignment="1">
      <alignment horizontal="center" vertical="center" wrapText="1"/>
    </xf>
    <xf numFmtId="166" fontId="34" fillId="2" borderId="15" xfId="1" applyNumberFormat="1" applyFont="1" applyFill="1" applyBorder="1" applyAlignment="1">
      <alignment horizontal="center" vertical="center" wrapText="1"/>
    </xf>
    <xf numFmtId="166" fontId="36" fillId="2" borderId="14" xfId="1" applyNumberFormat="1" applyFont="1" applyFill="1" applyBorder="1" applyAlignment="1">
      <alignment horizontal="center" vertical="center" wrapText="1"/>
    </xf>
    <xf numFmtId="166" fontId="8" fillId="4" borderId="15" xfId="1" applyNumberFormat="1" applyFont="1" applyFill="1" applyBorder="1" applyAlignment="1">
      <alignment horizontal="center" vertical="center" wrapText="1"/>
    </xf>
    <xf numFmtId="0" fontId="35" fillId="3" borderId="15" xfId="1" applyFont="1" applyFill="1" applyBorder="1" applyAlignment="1">
      <alignment horizontal="center" vertical="center" wrapText="1"/>
    </xf>
    <xf numFmtId="166" fontId="8" fillId="2" borderId="15" xfId="1" applyNumberFormat="1" applyFont="1" applyFill="1" applyBorder="1" applyAlignment="1">
      <alignment horizontal="center" vertical="center" wrapText="1"/>
    </xf>
    <xf numFmtId="166" fontId="35" fillId="2" borderId="14" xfId="1" applyNumberFormat="1" applyFont="1" applyFill="1" applyBorder="1" applyAlignment="1">
      <alignment horizontal="center" vertical="center" wrapText="1"/>
    </xf>
    <xf numFmtId="0" fontId="33" fillId="3" borderId="19" xfId="1" applyFont="1" applyFill="1" applyBorder="1" applyAlignment="1">
      <alignment horizontal="center" vertical="center" wrapText="1"/>
    </xf>
    <xf numFmtId="0" fontId="19" fillId="4" borderId="12" xfId="1" applyFont="1" applyFill="1" applyBorder="1" applyAlignment="1">
      <alignment vertical="center"/>
    </xf>
    <xf numFmtId="0" fontId="19" fillId="4" borderId="13" xfId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7" fillId="2" borderId="16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 wrapText="1"/>
    </xf>
    <xf numFmtId="165" fontId="17" fillId="2" borderId="16" xfId="1" applyNumberFormat="1" applyFont="1" applyFill="1" applyBorder="1" applyAlignment="1">
      <alignment horizontal="center" vertical="center" wrapText="1"/>
    </xf>
    <xf numFmtId="165" fontId="17" fillId="2" borderId="17" xfId="1" applyNumberFormat="1" applyFont="1" applyFill="1" applyBorder="1" applyAlignment="1">
      <alignment horizontal="center" vertical="center" wrapText="1"/>
    </xf>
    <xf numFmtId="165" fontId="17" fillId="2" borderId="18" xfId="1" applyNumberFormat="1" applyFont="1" applyFill="1" applyBorder="1" applyAlignment="1">
      <alignment horizontal="center" vertical="center" wrapText="1"/>
    </xf>
    <xf numFmtId="165" fontId="17" fillId="4" borderId="16" xfId="1" applyNumberFormat="1" applyFont="1" applyFill="1" applyBorder="1" applyAlignment="1">
      <alignment horizontal="center" vertical="center" wrapText="1"/>
    </xf>
    <xf numFmtId="165" fontId="17" fillId="4" borderId="17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wrapText="1"/>
    </xf>
    <xf numFmtId="166" fontId="17" fillId="2" borderId="15" xfId="1" applyNumberFormat="1" applyFont="1" applyFill="1" applyBorder="1" applyAlignment="1">
      <alignment horizontal="center" vertical="center" wrapText="1"/>
    </xf>
    <xf numFmtId="0" fontId="19" fillId="4" borderId="12" xfId="1" applyFont="1" applyFill="1" applyBorder="1" applyAlignment="1">
      <alignment horizontal="left" vertical="center" wrapText="1"/>
    </xf>
    <xf numFmtId="0" fontId="19" fillId="4" borderId="13" xfId="1" applyFont="1" applyFill="1" applyBorder="1" applyAlignment="1">
      <alignment horizontal="left" vertical="center" wrapText="1"/>
    </xf>
    <xf numFmtId="0" fontId="19" fillId="4" borderId="14" xfId="1" applyFont="1" applyFill="1" applyBorder="1" applyAlignment="1">
      <alignment horizontal="left" vertical="center" wrapText="1"/>
    </xf>
    <xf numFmtId="166" fontId="18" fillId="2" borderId="16" xfId="1" applyNumberFormat="1" applyFont="1" applyFill="1" applyBorder="1" applyAlignment="1">
      <alignment horizontal="center" vertical="center" wrapText="1"/>
    </xf>
    <xf numFmtId="166" fontId="18" fillId="2" borderId="17" xfId="1" applyNumberFormat="1" applyFont="1" applyFill="1" applyBorder="1" applyAlignment="1">
      <alignment horizontal="center" vertical="center" wrapText="1"/>
    </xf>
    <xf numFmtId="166" fontId="18" fillId="2" borderId="18" xfId="1" applyNumberFormat="1" applyFont="1" applyFill="1" applyBorder="1" applyAlignment="1">
      <alignment horizontal="center" vertical="center" wrapText="1"/>
    </xf>
    <xf numFmtId="166" fontId="17" fillId="4" borderId="16" xfId="1" applyNumberFormat="1" applyFont="1" applyFill="1" applyBorder="1" applyAlignment="1">
      <alignment horizontal="center" vertical="center" wrapText="1"/>
    </xf>
    <xf numFmtId="166" fontId="17" fillId="4" borderId="17" xfId="1" applyNumberFormat="1" applyFont="1" applyFill="1" applyBorder="1" applyAlignment="1">
      <alignment horizontal="center" vertical="center" wrapText="1"/>
    </xf>
    <xf numFmtId="166" fontId="17" fillId="4" borderId="18" xfId="1" applyNumberFormat="1" applyFont="1" applyFill="1" applyBorder="1" applyAlignment="1">
      <alignment horizontal="center" vertical="center" wrapText="1"/>
    </xf>
    <xf numFmtId="166" fontId="17" fillId="2" borderId="16" xfId="1" applyNumberFormat="1" applyFont="1" applyFill="1" applyBorder="1" applyAlignment="1">
      <alignment horizontal="center" vertical="center" wrapText="1"/>
    </xf>
    <xf numFmtId="166" fontId="17" fillId="2" borderId="17" xfId="1" applyNumberFormat="1" applyFont="1" applyFill="1" applyBorder="1" applyAlignment="1">
      <alignment horizontal="center" vertical="center" wrapText="1"/>
    </xf>
    <xf numFmtId="166" fontId="17" fillId="2" borderId="18" xfId="1" applyNumberFormat="1" applyFont="1" applyFill="1" applyBorder="1" applyAlignment="1">
      <alignment horizontal="center" vertical="center" wrapText="1"/>
    </xf>
    <xf numFmtId="0" fontId="17" fillId="3" borderId="16" xfId="1" applyFont="1" applyFill="1" applyBorder="1" applyAlignment="1">
      <alignment horizontal="center" vertical="center"/>
    </xf>
    <xf numFmtId="0" fontId="17" fillId="3" borderId="17" xfId="1" applyFont="1" applyFill="1" applyBorder="1" applyAlignment="1">
      <alignment horizontal="center" vertical="center"/>
    </xf>
    <xf numFmtId="0" fontId="17" fillId="3" borderId="18" xfId="1" applyFont="1" applyFill="1" applyBorder="1" applyAlignment="1">
      <alignment horizontal="center" vertical="center"/>
    </xf>
    <xf numFmtId="0" fontId="17" fillId="3" borderId="16" xfId="1" applyFont="1" applyFill="1" applyBorder="1" applyAlignment="1">
      <alignment horizontal="center" vertical="center" wrapText="1"/>
    </xf>
    <xf numFmtId="0" fontId="17" fillId="3" borderId="17" xfId="1" applyFont="1" applyFill="1" applyBorder="1" applyAlignment="1">
      <alignment horizontal="center" vertical="center" wrapText="1"/>
    </xf>
    <xf numFmtId="0" fontId="17" fillId="3" borderId="18" xfId="1" applyFont="1" applyFill="1" applyBorder="1" applyAlignment="1">
      <alignment horizontal="center" vertical="center" wrapText="1"/>
    </xf>
    <xf numFmtId="0" fontId="17" fillId="3" borderId="16" xfId="4" applyFont="1" applyFill="1" applyBorder="1" applyAlignment="1">
      <alignment horizontal="center" vertical="center" wrapText="1"/>
    </xf>
    <xf numFmtId="0" fontId="17" fillId="3" borderId="17" xfId="4" applyFont="1" applyFill="1" applyBorder="1" applyAlignment="1">
      <alignment horizontal="center" vertical="center" wrapText="1"/>
    </xf>
    <xf numFmtId="0" fontId="17" fillId="3" borderId="18" xfId="4" applyFont="1" applyFill="1" applyBorder="1" applyAlignment="1">
      <alignment horizontal="center" vertical="center" wrapText="1"/>
    </xf>
    <xf numFmtId="166" fontId="18" fillId="4" borderId="16" xfId="1" applyNumberFormat="1" applyFont="1" applyFill="1" applyBorder="1" applyAlignment="1">
      <alignment horizontal="center" vertical="center" wrapText="1"/>
    </xf>
    <xf numFmtId="166" fontId="18" fillId="4" borderId="17" xfId="1" applyNumberFormat="1" applyFont="1" applyFill="1" applyBorder="1" applyAlignment="1">
      <alignment horizontal="center" vertical="center" wrapText="1"/>
    </xf>
    <xf numFmtId="166" fontId="18" fillId="4" borderId="18" xfId="1" applyNumberFormat="1" applyFont="1" applyFill="1" applyBorder="1" applyAlignment="1">
      <alignment horizontal="center" vertical="center" wrapText="1"/>
    </xf>
    <xf numFmtId="166" fontId="17" fillId="3" borderId="17" xfId="1" applyNumberFormat="1" applyFont="1" applyFill="1" applyBorder="1" applyAlignment="1">
      <alignment horizontal="center" vertical="center" wrapText="1"/>
    </xf>
    <xf numFmtId="166" fontId="17" fillId="3" borderId="18" xfId="1" applyNumberFormat="1" applyFont="1" applyFill="1" applyBorder="1" applyAlignment="1">
      <alignment horizontal="center" vertical="center" wrapText="1"/>
    </xf>
    <xf numFmtId="166" fontId="17" fillId="3" borderId="16" xfId="1" applyNumberFormat="1" applyFont="1" applyFill="1" applyBorder="1" applyAlignment="1">
      <alignment horizontal="center" vertical="center" wrapText="1"/>
    </xf>
    <xf numFmtId="0" fontId="17" fillId="2" borderId="16" xfId="3" applyFont="1" applyFill="1" applyBorder="1" applyAlignment="1">
      <alignment horizontal="center" vertical="center" wrapText="1"/>
    </xf>
    <xf numFmtId="0" fontId="17" fillId="2" borderId="17" xfId="3" applyFont="1" applyFill="1" applyBorder="1" applyAlignment="1">
      <alignment horizontal="center" vertical="center" wrapText="1"/>
    </xf>
    <xf numFmtId="0" fontId="17" fillId="2" borderId="18" xfId="3" applyFont="1" applyFill="1" applyBorder="1" applyAlignment="1">
      <alignment horizontal="center" vertical="center" wrapText="1"/>
    </xf>
    <xf numFmtId="0" fontId="17" fillId="2" borderId="16" xfId="1" quotePrefix="1" applyFont="1" applyFill="1" applyBorder="1" applyAlignment="1">
      <alignment horizontal="center" vertical="center" wrapText="1"/>
    </xf>
    <xf numFmtId="0" fontId="17" fillId="2" borderId="17" xfId="1" quotePrefix="1" applyFont="1" applyFill="1" applyBorder="1" applyAlignment="1">
      <alignment horizontal="center" vertical="center" wrapText="1"/>
    </xf>
    <xf numFmtId="0" fontId="17" fillId="2" borderId="18" xfId="1" quotePrefix="1" applyFont="1" applyFill="1" applyBorder="1" applyAlignment="1">
      <alignment horizontal="center" vertical="center" wrapText="1"/>
    </xf>
    <xf numFmtId="0" fontId="17" fillId="3" borderId="16" xfId="1" applyNumberFormat="1" applyFont="1" applyFill="1" applyBorder="1" applyAlignment="1">
      <alignment horizontal="center" vertical="center" wrapText="1"/>
    </xf>
    <xf numFmtId="0" fontId="17" fillId="3" borderId="17" xfId="1" applyNumberFormat="1" applyFont="1" applyFill="1" applyBorder="1" applyAlignment="1">
      <alignment horizontal="center" vertical="center" wrapText="1"/>
    </xf>
    <xf numFmtId="0" fontId="17" fillId="3" borderId="18" xfId="1" applyNumberFormat="1" applyFont="1" applyFill="1" applyBorder="1" applyAlignment="1">
      <alignment horizontal="center" vertical="center" wrapText="1"/>
    </xf>
    <xf numFmtId="0" fontId="35" fillId="3" borderId="16" xfId="1" applyNumberFormat="1" applyFont="1" applyFill="1" applyBorder="1" applyAlignment="1">
      <alignment horizontal="center" vertical="center" wrapText="1"/>
    </xf>
    <xf numFmtId="0" fontId="35" fillId="3" borderId="17" xfId="1" applyNumberFormat="1" applyFont="1" applyFill="1" applyBorder="1" applyAlignment="1">
      <alignment horizontal="center" vertical="center" wrapText="1"/>
    </xf>
    <xf numFmtId="0" fontId="35" fillId="3" borderId="18" xfId="1" applyNumberFormat="1" applyFont="1" applyFill="1" applyBorder="1" applyAlignment="1">
      <alignment horizontal="center" vertical="center" wrapText="1"/>
    </xf>
    <xf numFmtId="0" fontId="35" fillId="2" borderId="16" xfId="3" applyFont="1" applyFill="1" applyBorder="1" applyAlignment="1">
      <alignment horizontal="center" vertical="center" wrapText="1"/>
    </xf>
    <xf numFmtId="0" fontId="35" fillId="2" borderId="17" xfId="3" applyFont="1" applyFill="1" applyBorder="1" applyAlignment="1">
      <alignment horizontal="center" vertical="center" wrapText="1"/>
    </xf>
    <xf numFmtId="0" fontId="35" fillId="2" borderId="18" xfId="3" applyFont="1" applyFill="1" applyBorder="1" applyAlignment="1">
      <alignment horizontal="center" vertical="center" wrapText="1"/>
    </xf>
    <xf numFmtId="166" fontId="35" fillId="2" borderId="16" xfId="1" applyNumberFormat="1" applyFont="1" applyFill="1" applyBorder="1" applyAlignment="1">
      <alignment horizontal="center" vertical="center" wrapText="1"/>
    </xf>
    <xf numFmtId="166" fontId="35" fillId="2" borderId="17" xfId="1" applyNumberFormat="1" applyFont="1" applyFill="1" applyBorder="1" applyAlignment="1">
      <alignment horizontal="center" vertical="center" wrapText="1"/>
    </xf>
    <xf numFmtId="166" fontId="35" fillId="2" borderId="18" xfId="1" applyNumberFormat="1" applyFont="1" applyFill="1" applyBorder="1" applyAlignment="1">
      <alignment horizontal="center" vertical="center" wrapText="1"/>
    </xf>
    <xf numFmtId="0" fontId="19" fillId="3" borderId="8" xfId="1" applyFont="1" applyFill="1" applyBorder="1" applyAlignment="1">
      <alignment horizontal="left" vertical="center" wrapText="1"/>
    </xf>
    <xf numFmtId="0" fontId="19" fillId="3" borderId="9" xfId="1" applyFont="1" applyFill="1" applyBorder="1" applyAlignment="1">
      <alignment horizontal="left" vertical="center" wrapText="1"/>
    </xf>
    <xf numFmtId="0" fontId="19" fillId="4" borderId="12" xfId="1" applyFont="1" applyFill="1" applyBorder="1" applyAlignment="1">
      <alignment horizontal="left" vertical="center"/>
    </xf>
    <xf numFmtId="0" fontId="19" fillId="4" borderId="13" xfId="1" applyFont="1" applyFill="1" applyBorder="1" applyAlignment="1">
      <alignment horizontal="left" vertical="center"/>
    </xf>
    <xf numFmtId="0" fontId="19" fillId="4" borderId="14" xfId="1" applyFont="1" applyFill="1" applyBorder="1" applyAlignment="1">
      <alignment horizontal="left" vertical="center"/>
    </xf>
    <xf numFmtId="0" fontId="17" fillId="3" borderId="1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left" vertical="center" wrapText="1"/>
    </xf>
    <xf numFmtId="0" fontId="18" fillId="3" borderId="0" xfId="1" applyFont="1" applyFill="1" applyAlignment="1">
      <alignment horizontal="center" vertical="top" wrapText="1"/>
    </xf>
    <xf numFmtId="0" fontId="17" fillId="3" borderId="2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7" fillId="3" borderId="21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_Лист1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view="pageBreakPreview" topLeftCell="A75" zoomScale="71" zoomScaleNormal="100" zoomScaleSheetLayoutView="71" zoomScalePageLayoutView="63" workbookViewId="0">
      <selection activeCell="A81" sqref="A81:T81"/>
    </sheetView>
  </sheetViews>
  <sheetFormatPr defaultRowHeight="15" x14ac:dyDescent="0.25"/>
  <cols>
    <col min="1" max="1" width="7.140625" customWidth="1"/>
    <col min="2" max="2" width="42.5703125" customWidth="1"/>
    <col min="3" max="4" width="12.5703125" customWidth="1"/>
    <col min="5" max="5" width="12.7109375" customWidth="1"/>
    <col min="6" max="6" width="12.5703125" customWidth="1"/>
    <col min="7" max="7" width="12.85546875" style="76" customWidth="1"/>
    <col min="8" max="8" width="12.85546875" customWidth="1"/>
    <col min="9" max="9" width="13.85546875" style="76" customWidth="1"/>
    <col min="10" max="10" width="12.5703125" customWidth="1"/>
    <col min="11" max="11" width="13.28515625" customWidth="1"/>
    <col min="12" max="13" width="13.85546875" customWidth="1"/>
    <col min="14" max="14" width="13.140625" customWidth="1"/>
    <col min="15" max="15" width="13.7109375" customWidth="1"/>
    <col min="16" max="16" width="13.42578125" customWidth="1"/>
    <col min="17" max="17" width="13.85546875" customWidth="1"/>
    <col min="18" max="18" width="12.85546875" customWidth="1"/>
    <col min="19" max="19" width="14.140625" customWidth="1"/>
    <col min="20" max="20" width="13" customWidth="1"/>
  </cols>
  <sheetData>
    <row r="1" spans="1:20" ht="24.75" customHeight="1" x14ac:dyDescent="0.3">
      <c r="B1" s="3"/>
      <c r="C1" s="3"/>
      <c r="D1" s="3"/>
      <c r="E1" s="3"/>
      <c r="F1" s="3"/>
      <c r="G1" s="69"/>
      <c r="H1" s="3"/>
      <c r="I1" s="69"/>
      <c r="J1" s="3"/>
      <c r="K1" s="3"/>
      <c r="L1" s="3"/>
      <c r="M1" s="3"/>
      <c r="N1" s="3"/>
      <c r="O1" s="3"/>
      <c r="P1" s="3"/>
      <c r="Q1" s="119" t="s">
        <v>139</v>
      </c>
      <c r="R1" s="119"/>
      <c r="S1" s="119"/>
      <c r="T1" s="119"/>
    </row>
    <row r="2" spans="1:20" ht="108" customHeight="1" x14ac:dyDescent="0.3">
      <c r="B2" s="3"/>
      <c r="C2" s="3"/>
      <c r="D2" s="3"/>
      <c r="E2" s="3"/>
      <c r="F2" s="82"/>
      <c r="G2" s="69"/>
      <c r="H2" s="3"/>
      <c r="I2" s="69"/>
      <c r="J2" s="3"/>
      <c r="K2" s="3"/>
      <c r="L2" s="3"/>
      <c r="M2" s="3"/>
      <c r="N2" s="3"/>
      <c r="O2" s="82"/>
      <c r="P2" s="3"/>
      <c r="Q2" s="119"/>
      <c r="R2" s="119"/>
      <c r="S2" s="119"/>
      <c r="T2" s="119"/>
    </row>
    <row r="3" spans="1:20" ht="18.75" customHeight="1" x14ac:dyDescent="0.25">
      <c r="B3" s="124" t="s">
        <v>71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0" ht="18.75" customHeight="1" x14ac:dyDescent="0.25">
      <c r="B4" s="124" t="s">
        <v>137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ht="15.75" x14ac:dyDescent="0.25">
      <c r="B5" s="21"/>
      <c r="C5" s="20"/>
      <c r="D5" s="20"/>
      <c r="E5" s="20"/>
      <c r="F5" s="20"/>
      <c r="G5" s="70"/>
      <c r="H5" s="20"/>
      <c r="I5" s="7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81.599999999999994" customHeight="1" x14ac:dyDescent="0.25">
      <c r="A6" s="19"/>
      <c r="B6" s="17" t="s">
        <v>50</v>
      </c>
      <c r="C6" s="17" t="s">
        <v>49</v>
      </c>
      <c r="D6" s="17" t="s">
        <v>140</v>
      </c>
      <c r="E6" s="17" t="s">
        <v>141</v>
      </c>
      <c r="F6" s="7" t="s">
        <v>142</v>
      </c>
      <c r="G6" s="7" t="s">
        <v>48</v>
      </c>
      <c r="H6" s="7" t="s">
        <v>47</v>
      </c>
      <c r="I6" s="7" t="s">
        <v>46</v>
      </c>
      <c r="J6" s="7" t="s">
        <v>45</v>
      </c>
      <c r="K6" s="7" t="s">
        <v>143</v>
      </c>
      <c r="L6" s="7" t="s">
        <v>144</v>
      </c>
      <c r="M6" s="7" t="s">
        <v>145</v>
      </c>
      <c r="N6" s="7" t="s">
        <v>146</v>
      </c>
      <c r="O6" s="7" t="s">
        <v>147</v>
      </c>
      <c r="P6" s="7" t="s">
        <v>148</v>
      </c>
      <c r="Q6" s="7" t="s">
        <v>149</v>
      </c>
      <c r="R6" s="7" t="s">
        <v>150</v>
      </c>
      <c r="S6" s="7" t="s">
        <v>151</v>
      </c>
      <c r="T6" s="7" t="s">
        <v>152</v>
      </c>
    </row>
    <row r="7" spans="1:20" ht="15.75" x14ac:dyDescent="0.25">
      <c r="A7" s="18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</row>
    <row r="8" spans="1:20" ht="20.25" customHeight="1" x14ac:dyDescent="0.25">
      <c r="A8" s="16" t="s">
        <v>44</v>
      </c>
      <c r="B8" s="15" t="s">
        <v>43</v>
      </c>
      <c r="C8" s="14"/>
      <c r="D8" s="14"/>
      <c r="E8" s="14"/>
      <c r="F8" s="14"/>
      <c r="G8" s="71"/>
      <c r="H8" s="13"/>
      <c r="I8" s="71"/>
      <c r="J8" s="71"/>
      <c r="K8" s="71"/>
      <c r="L8" s="71"/>
      <c r="M8" s="71"/>
      <c r="N8" s="71"/>
      <c r="O8" s="77"/>
      <c r="P8" s="77"/>
      <c r="Q8" s="71"/>
      <c r="R8" s="71"/>
      <c r="S8" s="77"/>
      <c r="T8" s="77"/>
    </row>
    <row r="9" spans="1:20" ht="32.25" customHeight="1" x14ac:dyDescent="0.25">
      <c r="A9" s="120">
        <v>1</v>
      </c>
      <c r="B9" s="5" t="s">
        <v>51</v>
      </c>
      <c r="C9" s="10" t="s">
        <v>10</v>
      </c>
      <c r="D9" s="24">
        <v>4150</v>
      </c>
      <c r="E9" s="24">
        <v>4205</v>
      </c>
      <c r="F9" s="23">
        <f>E9/D9*100</f>
        <v>101.32530120481928</v>
      </c>
      <c r="G9" s="78">
        <v>6100</v>
      </c>
      <c r="H9" s="79">
        <f>G9/E9*100</f>
        <v>145.06539833531511</v>
      </c>
      <c r="I9" s="78">
        <v>6200</v>
      </c>
      <c r="J9" s="79">
        <f>I9/G9*100</f>
        <v>101.63934426229508</v>
      </c>
      <c r="K9" s="78">
        <v>6250</v>
      </c>
      <c r="L9" s="79">
        <f>K9/I9*100</f>
        <v>100.80645161290323</v>
      </c>
      <c r="M9" s="78">
        <v>6300</v>
      </c>
      <c r="N9" s="79">
        <f>M9/K9*100</f>
        <v>100.8</v>
      </c>
      <c r="O9" s="78">
        <v>6320</v>
      </c>
      <c r="P9" s="79">
        <f>O9/M9*100</f>
        <v>100.31746031746032</v>
      </c>
      <c r="Q9" s="78">
        <v>6370</v>
      </c>
      <c r="R9" s="79">
        <f>Q9/O9*100</f>
        <v>100.79113924050634</v>
      </c>
      <c r="S9" s="78">
        <v>6400</v>
      </c>
      <c r="T9" s="79">
        <f>S9/Q9*100</f>
        <v>100.47095761381475</v>
      </c>
    </row>
    <row r="10" spans="1:20" ht="19.5" customHeight="1" x14ac:dyDescent="0.25">
      <c r="A10" s="121"/>
      <c r="B10" s="5" t="s">
        <v>54</v>
      </c>
      <c r="C10" s="10" t="s">
        <v>10</v>
      </c>
      <c r="D10" s="24">
        <v>2339</v>
      </c>
      <c r="E10" s="24">
        <v>2397</v>
      </c>
      <c r="F10" s="23">
        <f t="shared" ref="F10:F72" si="0">E10/D10*100</f>
        <v>102.47969217614366</v>
      </c>
      <c r="G10" s="81">
        <f>G13+G16+G19+G22+G25</f>
        <v>3307</v>
      </c>
      <c r="H10" s="79">
        <f t="shared" ref="H10:H11" si="1">G10/E10*100</f>
        <v>137.96412181894033</v>
      </c>
      <c r="I10" s="81">
        <f t="shared" ref="I10:S10" si="2">I13+I16+I19+I22+I25</f>
        <v>3344</v>
      </c>
      <c r="J10" s="79">
        <f t="shared" ref="J10:J11" si="3">I10/G10*100</f>
        <v>101.11883882673118</v>
      </c>
      <c r="K10" s="81">
        <f t="shared" ref="K10" si="4">K13+K16+K19+K22+K25</f>
        <v>3373</v>
      </c>
      <c r="L10" s="79">
        <f t="shared" ref="L10:L11" si="5">K10/I10*100</f>
        <v>100.86722488038278</v>
      </c>
      <c r="M10" s="81">
        <f t="shared" si="2"/>
        <v>3413</v>
      </c>
      <c r="N10" s="79">
        <f t="shared" ref="N10:N11" si="6">M10/K10*100</f>
        <v>101.18588793359027</v>
      </c>
      <c r="O10" s="81">
        <f t="shared" si="2"/>
        <v>3428</v>
      </c>
      <c r="P10" s="79">
        <f t="shared" ref="P10:P11" si="7">O10/M10*100</f>
        <v>100.43949604453559</v>
      </c>
      <c r="Q10" s="81">
        <f t="shared" si="2"/>
        <v>3460</v>
      </c>
      <c r="R10" s="79">
        <f t="shared" ref="R10:R11" si="8">Q10/O10*100</f>
        <v>100.93348891481915</v>
      </c>
      <c r="S10" s="81">
        <f t="shared" si="2"/>
        <v>3480</v>
      </c>
      <c r="T10" s="79">
        <f t="shared" ref="T10:T11" si="9">S10/Q10*100</f>
        <v>100.57803468208093</v>
      </c>
    </row>
    <row r="11" spans="1:20" ht="18.75" customHeight="1" x14ac:dyDescent="0.25">
      <c r="A11" s="121"/>
      <c r="B11" s="5" t="s">
        <v>55</v>
      </c>
      <c r="C11" s="10" t="s">
        <v>10</v>
      </c>
      <c r="D11" s="24">
        <v>1811</v>
      </c>
      <c r="E11" s="24">
        <v>1808</v>
      </c>
      <c r="F11" s="23">
        <f t="shared" si="0"/>
        <v>99.834345665378237</v>
      </c>
      <c r="G11" s="81">
        <f>G14+G17+G20+G23+G26</f>
        <v>2793</v>
      </c>
      <c r="H11" s="79">
        <f t="shared" si="1"/>
        <v>154.48008849557522</v>
      </c>
      <c r="I11" s="81">
        <f t="shared" ref="I11:S11" si="10">I14+I17+I20+I23+I26</f>
        <v>2856</v>
      </c>
      <c r="J11" s="79">
        <f t="shared" si="3"/>
        <v>102.25563909774435</v>
      </c>
      <c r="K11" s="81">
        <f t="shared" ref="K11" si="11">K14+K17+K20+K23+K26</f>
        <v>2877</v>
      </c>
      <c r="L11" s="79">
        <f t="shared" si="5"/>
        <v>100.73529411764706</v>
      </c>
      <c r="M11" s="81">
        <f t="shared" si="10"/>
        <v>2887</v>
      </c>
      <c r="N11" s="79">
        <f t="shared" si="6"/>
        <v>100.34758428919012</v>
      </c>
      <c r="O11" s="81">
        <f t="shared" si="10"/>
        <v>2892</v>
      </c>
      <c r="P11" s="79">
        <f t="shared" si="7"/>
        <v>100.17319016279875</v>
      </c>
      <c r="Q11" s="81">
        <f t="shared" si="10"/>
        <v>2910</v>
      </c>
      <c r="R11" s="79">
        <f t="shared" si="8"/>
        <v>100.62240663900414</v>
      </c>
      <c r="S11" s="81">
        <f t="shared" si="10"/>
        <v>2920</v>
      </c>
      <c r="T11" s="79">
        <f t="shared" si="9"/>
        <v>100.34364261168385</v>
      </c>
    </row>
    <row r="12" spans="1:20" ht="32.25" customHeight="1" x14ac:dyDescent="0.25">
      <c r="A12" s="121"/>
      <c r="B12" s="5" t="s">
        <v>60</v>
      </c>
      <c r="C12" s="10" t="s">
        <v>10</v>
      </c>
      <c r="D12" s="24">
        <v>182</v>
      </c>
      <c r="E12" s="24">
        <v>185</v>
      </c>
      <c r="F12" s="23">
        <f t="shared" si="0"/>
        <v>101.64835164835165</v>
      </c>
      <c r="G12" s="80">
        <f t="shared" ref="G12:I12" si="12">G13+G14</f>
        <v>267</v>
      </c>
      <c r="H12" s="79">
        <f t="shared" ref="H12:H72" si="13">G12/E12*100</f>
        <v>144.32432432432432</v>
      </c>
      <c r="I12" s="80">
        <f t="shared" si="12"/>
        <v>269</v>
      </c>
      <c r="J12" s="79">
        <f t="shared" ref="J12:J72" si="14">I12/G12*100</f>
        <v>100.74906367041199</v>
      </c>
      <c r="K12" s="80">
        <f t="shared" ref="K12" si="15">K13+K14</f>
        <v>271</v>
      </c>
      <c r="L12" s="79">
        <f t="shared" ref="L12:L72" si="16">K12/I12*100</f>
        <v>100.74349442379183</v>
      </c>
      <c r="M12" s="80">
        <f t="shared" ref="M12:O12" si="17">M13+M14</f>
        <v>271</v>
      </c>
      <c r="N12" s="79">
        <f t="shared" ref="N12:N72" si="18">M12/K12*100</f>
        <v>100</v>
      </c>
      <c r="O12" s="80">
        <f t="shared" si="17"/>
        <v>272</v>
      </c>
      <c r="P12" s="79">
        <f t="shared" ref="P12:P72" si="19">O12/M12*100</f>
        <v>100.36900369003689</v>
      </c>
      <c r="Q12" s="80">
        <f t="shared" ref="Q12:S12" si="20">Q13+Q14</f>
        <v>276</v>
      </c>
      <c r="R12" s="79">
        <f t="shared" ref="R12:R72" si="21">Q12/O12*100</f>
        <v>101.47058823529412</v>
      </c>
      <c r="S12" s="80">
        <f t="shared" si="20"/>
        <v>276</v>
      </c>
      <c r="T12" s="79">
        <f t="shared" ref="T12:T72" si="22">S12/Q12*100</f>
        <v>100</v>
      </c>
    </row>
    <row r="13" spans="1:20" ht="19.5" customHeight="1" x14ac:dyDescent="0.25">
      <c r="A13" s="121"/>
      <c r="B13" s="5" t="s">
        <v>56</v>
      </c>
      <c r="C13" s="10" t="s">
        <v>10</v>
      </c>
      <c r="D13" s="24">
        <v>87</v>
      </c>
      <c r="E13" s="24">
        <v>88</v>
      </c>
      <c r="F13" s="23">
        <f t="shared" si="0"/>
        <v>101.14942528735634</v>
      </c>
      <c r="G13" s="80">
        <v>127</v>
      </c>
      <c r="H13" s="79">
        <f t="shared" si="13"/>
        <v>144.31818181818181</v>
      </c>
      <c r="I13" s="80">
        <v>128</v>
      </c>
      <c r="J13" s="79">
        <f t="shared" si="14"/>
        <v>100.78740157480314</v>
      </c>
      <c r="K13" s="80">
        <v>129</v>
      </c>
      <c r="L13" s="79">
        <f t="shared" si="16"/>
        <v>100.78125</v>
      </c>
      <c r="M13" s="80">
        <v>129</v>
      </c>
      <c r="N13" s="79">
        <f t="shared" si="18"/>
        <v>100</v>
      </c>
      <c r="O13" s="80">
        <v>130</v>
      </c>
      <c r="P13" s="79">
        <f t="shared" si="19"/>
        <v>100.77519379844961</v>
      </c>
      <c r="Q13" s="80">
        <v>132</v>
      </c>
      <c r="R13" s="79">
        <f t="shared" si="21"/>
        <v>101.53846153846153</v>
      </c>
      <c r="S13" s="80">
        <v>132</v>
      </c>
      <c r="T13" s="79">
        <f t="shared" si="22"/>
        <v>100</v>
      </c>
    </row>
    <row r="14" spans="1:20" ht="15.75" customHeight="1" x14ac:dyDescent="0.25">
      <c r="A14" s="121"/>
      <c r="B14" s="5" t="s">
        <v>57</v>
      </c>
      <c r="C14" s="10" t="s">
        <v>10</v>
      </c>
      <c r="D14" s="24">
        <v>95</v>
      </c>
      <c r="E14" s="24">
        <v>97</v>
      </c>
      <c r="F14" s="23">
        <f t="shared" si="0"/>
        <v>102.10526315789474</v>
      </c>
      <c r="G14" s="80">
        <v>140</v>
      </c>
      <c r="H14" s="79">
        <f t="shared" si="13"/>
        <v>144.32989690721649</v>
      </c>
      <c r="I14" s="80">
        <v>141</v>
      </c>
      <c r="J14" s="79">
        <f t="shared" si="14"/>
        <v>100.71428571428571</v>
      </c>
      <c r="K14" s="80">
        <v>142</v>
      </c>
      <c r="L14" s="79">
        <f t="shared" si="16"/>
        <v>100.70921985815602</v>
      </c>
      <c r="M14" s="80">
        <v>142</v>
      </c>
      <c r="N14" s="79">
        <f t="shared" si="18"/>
        <v>100</v>
      </c>
      <c r="O14" s="80">
        <v>142</v>
      </c>
      <c r="P14" s="79">
        <f t="shared" si="19"/>
        <v>100</v>
      </c>
      <c r="Q14" s="80">
        <v>144</v>
      </c>
      <c r="R14" s="79">
        <f t="shared" si="21"/>
        <v>101.40845070422534</v>
      </c>
      <c r="S14" s="80">
        <v>144</v>
      </c>
      <c r="T14" s="79">
        <f t="shared" si="22"/>
        <v>100</v>
      </c>
    </row>
    <row r="15" spans="1:20" ht="32.25" customHeight="1" x14ac:dyDescent="0.25">
      <c r="A15" s="121"/>
      <c r="B15" s="5" t="s">
        <v>61</v>
      </c>
      <c r="C15" s="10" t="s">
        <v>10</v>
      </c>
      <c r="D15" s="24">
        <v>365</v>
      </c>
      <c r="E15" s="24">
        <v>370</v>
      </c>
      <c r="F15" s="23">
        <f t="shared" si="0"/>
        <v>101.36986301369863</v>
      </c>
      <c r="G15" s="81">
        <f t="shared" ref="G15:I15" si="23">G16+G17</f>
        <v>697</v>
      </c>
      <c r="H15" s="79">
        <f t="shared" si="13"/>
        <v>188.37837837837839</v>
      </c>
      <c r="I15" s="81">
        <f t="shared" si="23"/>
        <v>702</v>
      </c>
      <c r="J15" s="79">
        <f t="shared" si="14"/>
        <v>100.71736011477761</v>
      </c>
      <c r="K15" s="81">
        <f t="shared" ref="K15" si="24">K16+K17</f>
        <v>709</v>
      </c>
      <c r="L15" s="79">
        <f t="shared" si="16"/>
        <v>100.99715099715098</v>
      </c>
      <c r="M15" s="81">
        <f t="shared" ref="M15:O15" si="25">M16+M17</f>
        <v>721</v>
      </c>
      <c r="N15" s="79">
        <f t="shared" si="18"/>
        <v>101.69252468265162</v>
      </c>
      <c r="O15" s="81">
        <f t="shared" si="25"/>
        <v>727</v>
      </c>
      <c r="P15" s="79">
        <f t="shared" si="19"/>
        <v>100.83217753120665</v>
      </c>
      <c r="Q15" s="81">
        <f t="shared" ref="Q15:S15" si="26">Q16+Q17</f>
        <v>732</v>
      </c>
      <c r="R15" s="79">
        <f t="shared" si="21"/>
        <v>100.68775790921596</v>
      </c>
      <c r="S15" s="81">
        <f t="shared" si="26"/>
        <v>737</v>
      </c>
      <c r="T15" s="79">
        <f t="shared" si="22"/>
        <v>100.68306010928963</v>
      </c>
    </row>
    <row r="16" spans="1:20" ht="17.25" customHeight="1" x14ac:dyDescent="0.25">
      <c r="A16" s="121"/>
      <c r="B16" s="5" t="s">
        <v>56</v>
      </c>
      <c r="C16" s="10" t="s">
        <v>10</v>
      </c>
      <c r="D16" s="24">
        <v>187</v>
      </c>
      <c r="E16" s="24">
        <v>195</v>
      </c>
      <c r="F16" s="23">
        <f t="shared" si="0"/>
        <v>104.27807486631015</v>
      </c>
      <c r="G16" s="81">
        <v>325</v>
      </c>
      <c r="H16" s="79">
        <f t="shared" si="13"/>
        <v>166.66666666666669</v>
      </c>
      <c r="I16" s="81">
        <v>327</v>
      </c>
      <c r="J16" s="79">
        <f t="shared" si="14"/>
        <v>100.61538461538461</v>
      </c>
      <c r="K16" s="81">
        <v>330</v>
      </c>
      <c r="L16" s="79">
        <f t="shared" si="16"/>
        <v>100.91743119266054</v>
      </c>
      <c r="M16" s="81">
        <v>339</v>
      </c>
      <c r="N16" s="79">
        <f t="shared" si="18"/>
        <v>102.72727272727273</v>
      </c>
      <c r="O16" s="81">
        <v>343</v>
      </c>
      <c r="P16" s="79">
        <f t="shared" si="19"/>
        <v>101.17994100294985</v>
      </c>
      <c r="Q16" s="81">
        <v>345</v>
      </c>
      <c r="R16" s="79">
        <f t="shared" si="21"/>
        <v>100.58309037900874</v>
      </c>
      <c r="S16" s="81">
        <v>347</v>
      </c>
      <c r="T16" s="79">
        <f t="shared" si="22"/>
        <v>100.57971014492753</v>
      </c>
    </row>
    <row r="17" spans="1:20" ht="18.75" customHeight="1" x14ac:dyDescent="0.25">
      <c r="A17" s="121"/>
      <c r="B17" s="5" t="s">
        <v>57</v>
      </c>
      <c r="C17" s="10" t="s">
        <v>10</v>
      </c>
      <c r="D17" s="24">
        <v>178</v>
      </c>
      <c r="E17" s="24">
        <v>175</v>
      </c>
      <c r="F17" s="23">
        <f t="shared" si="0"/>
        <v>98.31460674157303</v>
      </c>
      <c r="G17" s="81">
        <v>372</v>
      </c>
      <c r="H17" s="79">
        <f t="shared" si="13"/>
        <v>212.57142857142858</v>
      </c>
      <c r="I17" s="81">
        <v>375</v>
      </c>
      <c r="J17" s="79">
        <f t="shared" si="14"/>
        <v>100.80645161290323</v>
      </c>
      <c r="K17" s="81">
        <v>379</v>
      </c>
      <c r="L17" s="79">
        <f t="shared" si="16"/>
        <v>101.06666666666666</v>
      </c>
      <c r="M17" s="81">
        <v>382</v>
      </c>
      <c r="N17" s="79">
        <f t="shared" si="18"/>
        <v>100.79155672823219</v>
      </c>
      <c r="O17" s="81">
        <v>384</v>
      </c>
      <c r="P17" s="79">
        <f t="shared" si="19"/>
        <v>100.52356020942408</v>
      </c>
      <c r="Q17" s="81">
        <v>387</v>
      </c>
      <c r="R17" s="79">
        <f t="shared" si="21"/>
        <v>100.78125</v>
      </c>
      <c r="S17" s="81">
        <v>390</v>
      </c>
      <c r="T17" s="79">
        <f t="shared" si="22"/>
        <v>100.77519379844961</v>
      </c>
    </row>
    <row r="18" spans="1:20" ht="32.25" customHeight="1" x14ac:dyDescent="0.25">
      <c r="A18" s="121"/>
      <c r="B18" s="5" t="s">
        <v>62</v>
      </c>
      <c r="C18" s="10" t="s">
        <v>10</v>
      </c>
      <c r="D18" s="24">
        <v>928</v>
      </c>
      <c r="E18" s="24">
        <v>930</v>
      </c>
      <c r="F18" s="23">
        <f t="shared" si="0"/>
        <v>100.21551724137932</v>
      </c>
      <c r="G18" s="81">
        <f t="shared" ref="G18:I18" si="27">G19+G20</f>
        <v>1354</v>
      </c>
      <c r="H18" s="79">
        <f t="shared" si="13"/>
        <v>145.59139784946237</v>
      </c>
      <c r="I18" s="81">
        <f t="shared" si="27"/>
        <v>1367</v>
      </c>
      <c r="J18" s="79">
        <f t="shared" si="14"/>
        <v>100.96011816838994</v>
      </c>
      <c r="K18" s="81">
        <f t="shared" ref="K18" si="28">K19+K20</f>
        <v>1380</v>
      </c>
      <c r="L18" s="79">
        <f t="shared" si="16"/>
        <v>100.95098756400877</v>
      </c>
      <c r="M18" s="81">
        <f t="shared" ref="M18:O18" si="29">M19+M20</f>
        <v>1395</v>
      </c>
      <c r="N18" s="79">
        <f t="shared" si="18"/>
        <v>101.08695652173914</v>
      </c>
      <c r="O18" s="81">
        <f t="shared" si="29"/>
        <v>1396</v>
      </c>
      <c r="P18" s="79">
        <f t="shared" si="19"/>
        <v>100.07168458781362</v>
      </c>
      <c r="Q18" s="81">
        <f t="shared" ref="Q18:S18" si="30">Q19+Q20</f>
        <v>1415</v>
      </c>
      <c r="R18" s="79">
        <f t="shared" si="21"/>
        <v>101.36103151862463</v>
      </c>
      <c r="S18" s="81">
        <f t="shared" si="30"/>
        <v>1422</v>
      </c>
      <c r="T18" s="79">
        <f t="shared" si="22"/>
        <v>100.4946996466431</v>
      </c>
    </row>
    <row r="19" spans="1:20" ht="18.75" customHeight="1" x14ac:dyDescent="0.25">
      <c r="A19" s="121"/>
      <c r="B19" s="5" t="s">
        <v>56</v>
      </c>
      <c r="C19" s="10" t="s">
        <v>10</v>
      </c>
      <c r="D19" s="24">
        <v>472</v>
      </c>
      <c r="E19" s="24">
        <v>479</v>
      </c>
      <c r="F19" s="23">
        <f t="shared" si="0"/>
        <v>101.48305084745763</v>
      </c>
      <c r="G19" s="81">
        <v>683</v>
      </c>
      <c r="H19" s="79">
        <f t="shared" si="13"/>
        <v>142.58872651356992</v>
      </c>
      <c r="I19" s="81">
        <v>692</v>
      </c>
      <c r="J19" s="79">
        <f t="shared" si="14"/>
        <v>101.31771595900439</v>
      </c>
      <c r="K19" s="81">
        <v>701</v>
      </c>
      <c r="L19" s="79">
        <f t="shared" si="16"/>
        <v>101.30057803468209</v>
      </c>
      <c r="M19" s="81">
        <v>712</v>
      </c>
      <c r="N19" s="79">
        <f t="shared" si="18"/>
        <v>101.56918687589157</v>
      </c>
      <c r="O19" s="81">
        <v>713</v>
      </c>
      <c r="P19" s="79">
        <f t="shared" si="19"/>
        <v>100.14044943820224</v>
      </c>
      <c r="Q19" s="81">
        <v>725</v>
      </c>
      <c r="R19" s="79">
        <f t="shared" si="21"/>
        <v>101.68302945301544</v>
      </c>
      <c r="S19" s="81">
        <v>730</v>
      </c>
      <c r="T19" s="79">
        <f t="shared" si="22"/>
        <v>100.68965517241379</v>
      </c>
    </row>
    <row r="20" spans="1:20" ht="15.75" customHeight="1" x14ac:dyDescent="0.25">
      <c r="A20" s="121"/>
      <c r="B20" s="5" t="s">
        <v>57</v>
      </c>
      <c r="C20" s="10" t="s">
        <v>10</v>
      </c>
      <c r="D20" s="24">
        <v>456</v>
      </c>
      <c r="E20" s="24">
        <v>451</v>
      </c>
      <c r="F20" s="23">
        <f t="shared" si="0"/>
        <v>98.903508771929822</v>
      </c>
      <c r="G20" s="81">
        <v>671</v>
      </c>
      <c r="H20" s="79">
        <f t="shared" si="13"/>
        <v>148.78048780487805</v>
      </c>
      <c r="I20" s="81">
        <v>675</v>
      </c>
      <c r="J20" s="79">
        <f t="shared" si="14"/>
        <v>100.59612518628913</v>
      </c>
      <c r="K20" s="81">
        <v>679</v>
      </c>
      <c r="L20" s="79">
        <f t="shared" si="16"/>
        <v>100.5925925925926</v>
      </c>
      <c r="M20" s="81">
        <v>683</v>
      </c>
      <c r="N20" s="79">
        <f t="shared" si="18"/>
        <v>100.58910162002945</v>
      </c>
      <c r="O20" s="81">
        <v>683</v>
      </c>
      <c r="P20" s="79">
        <f t="shared" si="19"/>
        <v>100</v>
      </c>
      <c r="Q20" s="81">
        <v>690</v>
      </c>
      <c r="R20" s="79">
        <f t="shared" si="21"/>
        <v>101.02489019033676</v>
      </c>
      <c r="S20" s="81">
        <v>692</v>
      </c>
      <c r="T20" s="79">
        <f t="shared" si="22"/>
        <v>100.28985507246378</v>
      </c>
    </row>
    <row r="21" spans="1:20" ht="32.25" customHeight="1" x14ac:dyDescent="0.25">
      <c r="A21" s="121"/>
      <c r="B21" s="5" t="s">
        <v>59</v>
      </c>
      <c r="C21" s="10" t="s">
        <v>10</v>
      </c>
      <c r="D21" s="24">
        <v>1750</v>
      </c>
      <c r="E21" s="24">
        <v>1790</v>
      </c>
      <c r="F21" s="23">
        <f t="shared" si="0"/>
        <v>102.28571428571429</v>
      </c>
      <c r="G21" s="81">
        <f t="shared" ref="G21:I21" si="31">G22+G23</f>
        <v>2451</v>
      </c>
      <c r="H21" s="79">
        <f t="shared" si="13"/>
        <v>136.927374301676</v>
      </c>
      <c r="I21" s="81">
        <f t="shared" si="31"/>
        <v>2499</v>
      </c>
      <c r="J21" s="79">
        <f t="shared" si="14"/>
        <v>101.95838433292535</v>
      </c>
      <c r="K21" s="81">
        <f t="shared" ref="K21" si="32">K22+K23</f>
        <v>2510</v>
      </c>
      <c r="L21" s="79">
        <f t="shared" si="16"/>
        <v>100.44017607042817</v>
      </c>
      <c r="M21" s="81">
        <f t="shared" ref="M21:O21" si="33">M22+M23</f>
        <v>2523</v>
      </c>
      <c r="N21" s="79">
        <f t="shared" si="18"/>
        <v>100.51792828685259</v>
      </c>
      <c r="O21" s="81">
        <f t="shared" si="33"/>
        <v>2533</v>
      </c>
      <c r="P21" s="79">
        <f t="shared" si="19"/>
        <v>100.39635354736424</v>
      </c>
      <c r="Q21" s="81">
        <f t="shared" ref="Q21:S21" si="34">Q22+Q23</f>
        <v>2544</v>
      </c>
      <c r="R21" s="79">
        <f t="shared" si="21"/>
        <v>100.43426766679826</v>
      </c>
      <c r="S21" s="81">
        <f t="shared" si="34"/>
        <v>2550</v>
      </c>
      <c r="T21" s="79">
        <f t="shared" si="22"/>
        <v>100.23584905660377</v>
      </c>
    </row>
    <row r="22" spans="1:20" ht="19.5" customHeight="1" x14ac:dyDescent="0.25">
      <c r="A22" s="121"/>
      <c r="B22" s="5" t="s">
        <v>54</v>
      </c>
      <c r="C22" s="10" t="s">
        <v>10</v>
      </c>
      <c r="D22" s="24">
        <v>1025</v>
      </c>
      <c r="E22" s="24">
        <v>1120</v>
      </c>
      <c r="F22" s="23">
        <f t="shared" si="0"/>
        <v>109.26829268292684</v>
      </c>
      <c r="G22" s="81">
        <v>1432</v>
      </c>
      <c r="H22" s="79">
        <f t="shared" si="13"/>
        <v>127.85714285714285</v>
      </c>
      <c r="I22" s="81">
        <v>1445</v>
      </c>
      <c r="J22" s="79">
        <f t="shared" si="14"/>
        <v>100.90782122905028</v>
      </c>
      <c r="K22" s="81">
        <v>1451</v>
      </c>
      <c r="L22" s="79">
        <f t="shared" si="16"/>
        <v>100.41522491349481</v>
      </c>
      <c r="M22" s="81">
        <v>1462</v>
      </c>
      <c r="N22" s="79">
        <f t="shared" si="18"/>
        <v>100.75809786354239</v>
      </c>
      <c r="O22" s="81">
        <v>1469</v>
      </c>
      <c r="P22" s="79">
        <f t="shared" si="19"/>
        <v>100.47879616963064</v>
      </c>
      <c r="Q22" s="81">
        <v>1476</v>
      </c>
      <c r="R22" s="79">
        <f t="shared" si="21"/>
        <v>100.47651463580667</v>
      </c>
      <c r="S22" s="81">
        <v>1479</v>
      </c>
      <c r="T22" s="79">
        <f t="shared" si="22"/>
        <v>100.20325203252031</v>
      </c>
    </row>
    <row r="23" spans="1:20" ht="15.75" customHeight="1" x14ac:dyDescent="0.25">
      <c r="A23" s="121"/>
      <c r="B23" s="5" t="s">
        <v>55</v>
      </c>
      <c r="C23" s="10" t="s">
        <v>10</v>
      </c>
      <c r="D23" s="24">
        <v>725</v>
      </c>
      <c r="E23" s="24">
        <v>670</v>
      </c>
      <c r="F23" s="23">
        <f t="shared" si="0"/>
        <v>92.41379310344827</v>
      </c>
      <c r="G23" s="81">
        <v>1019</v>
      </c>
      <c r="H23" s="79">
        <f t="shared" si="13"/>
        <v>152.08955223880599</v>
      </c>
      <c r="I23" s="81">
        <v>1054</v>
      </c>
      <c r="J23" s="79">
        <f t="shared" si="14"/>
        <v>103.43473994111874</v>
      </c>
      <c r="K23" s="81">
        <v>1059</v>
      </c>
      <c r="L23" s="79">
        <f t="shared" si="16"/>
        <v>100.47438330170777</v>
      </c>
      <c r="M23" s="81">
        <v>1061</v>
      </c>
      <c r="N23" s="79">
        <f t="shared" si="18"/>
        <v>100.18885741265345</v>
      </c>
      <c r="O23" s="81">
        <v>1064</v>
      </c>
      <c r="P23" s="79">
        <f t="shared" si="19"/>
        <v>100.28275212064091</v>
      </c>
      <c r="Q23" s="81">
        <v>1068</v>
      </c>
      <c r="R23" s="79">
        <f t="shared" si="21"/>
        <v>100.37593984962405</v>
      </c>
      <c r="S23" s="81">
        <v>1071</v>
      </c>
      <c r="T23" s="79">
        <f t="shared" si="22"/>
        <v>100.28089887640451</v>
      </c>
    </row>
    <row r="24" spans="1:20" ht="19.5" customHeight="1" x14ac:dyDescent="0.25">
      <c r="A24" s="121"/>
      <c r="B24" s="5" t="s">
        <v>58</v>
      </c>
      <c r="C24" s="10" t="s">
        <v>10</v>
      </c>
      <c r="D24" s="24">
        <v>925</v>
      </c>
      <c r="E24" s="24">
        <v>930</v>
      </c>
      <c r="F24" s="23">
        <f t="shared" si="0"/>
        <v>100.54054054054053</v>
      </c>
      <c r="G24" s="81">
        <f>G25+G26</f>
        <v>1331</v>
      </c>
      <c r="H24" s="79">
        <f t="shared" si="13"/>
        <v>143.11827956989248</v>
      </c>
      <c r="I24" s="81">
        <f>I25+I26</f>
        <v>1363</v>
      </c>
      <c r="J24" s="79">
        <f t="shared" si="14"/>
        <v>102.40420736288505</v>
      </c>
      <c r="K24" s="81">
        <f>K25+K26</f>
        <v>1380</v>
      </c>
      <c r="L24" s="79">
        <f t="shared" si="16"/>
        <v>101.24724871606749</v>
      </c>
      <c r="M24" s="81">
        <f>M25+M26</f>
        <v>1390</v>
      </c>
      <c r="N24" s="79">
        <f t="shared" si="18"/>
        <v>100.72463768115942</v>
      </c>
      <c r="O24" s="81">
        <f>O25+O26</f>
        <v>1392</v>
      </c>
      <c r="P24" s="79">
        <f t="shared" si="19"/>
        <v>100.14388489208632</v>
      </c>
      <c r="Q24" s="81">
        <f>Q25+Q26</f>
        <v>1403</v>
      </c>
      <c r="R24" s="79">
        <f t="shared" si="21"/>
        <v>100.79022988505749</v>
      </c>
      <c r="S24" s="81">
        <f>S25+S26</f>
        <v>1415</v>
      </c>
      <c r="T24" s="79">
        <f t="shared" si="22"/>
        <v>100.85531004989308</v>
      </c>
    </row>
    <row r="25" spans="1:20" ht="20.25" customHeight="1" x14ac:dyDescent="0.25">
      <c r="A25" s="121"/>
      <c r="B25" s="5" t="s">
        <v>54</v>
      </c>
      <c r="C25" s="10" t="s">
        <v>10</v>
      </c>
      <c r="D25" s="24">
        <v>568</v>
      </c>
      <c r="E25" s="24">
        <v>515</v>
      </c>
      <c r="F25" s="23">
        <f t="shared" si="0"/>
        <v>90.66901408450704</v>
      </c>
      <c r="G25" s="81">
        <v>740</v>
      </c>
      <c r="H25" s="79">
        <f t="shared" si="13"/>
        <v>143.68932038834953</v>
      </c>
      <c r="I25" s="81">
        <v>752</v>
      </c>
      <c r="J25" s="79">
        <f t="shared" si="14"/>
        <v>101.62162162162163</v>
      </c>
      <c r="K25" s="81">
        <v>762</v>
      </c>
      <c r="L25" s="79">
        <f t="shared" si="16"/>
        <v>101.32978723404256</v>
      </c>
      <c r="M25" s="81">
        <v>771</v>
      </c>
      <c r="N25" s="79">
        <f t="shared" si="18"/>
        <v>101.18110236220473</v>
      </c>
      <c r="O25" s="81">
        <v>773</v>
      </c>
      <c r="P25" s="79">
        <f t="shared" si="19"/>
        <v>100.25940337224384</v>
      </c>
      <c r="Q25" s="81">
        <v>782</v>
      </c>
      <c r="R25" s="79">
        <f t="shared" si="21"/>
        <v>101.16429495472185</v>
      </c>
      <c r="S25" s="81">
        <v>792</v>
      </c>
      <c r="T25" s="79">
        <f t="shared" si="22"/>
        <v>101.27877237851663</v>
      </c>
    </row>
    <row r="26" spans="1:20" ht="16.5" customHeight="1" x14ac:dyDescent="0.25">
      <c r="A26" s="122"/>
      <c r="B26" s="5" t="s">
        <v>55</v>
      </c>
      <c r="C26" s="10" t="s">
        <v>10</v>
      </c>
      <c r="D26" s="24">
        <v>357</v>
      </c>
      <c r="E26" s="24">
        <v>415</v>
      </c>
      <c r="F26" s="23">
        <f t="shared" si="0"/>
        <v>116.24649859943979</v>
      </c>
      <c r="G26" s="81">
        <v>591</v>
      </c>
      <c r="H26" s="79">
        <f t="shared" si="13"/>
        <v>142.40963855421685</v>
      </c>
      <c r="I26" s="81">
        <v>611</v>
      </c>
      <c r="J26" s="79">
        <f t="shared" si="14"/>
        <v>103.38409475465313</v>
      </c>
      <c r="K26" s="81">
        <v>618</v>
      </c>
      <c r="L26" s="79">
        <f t="shared" si="16"/>
        <v>101.14566284779052</v>
      </c>
      <c r="M26" s="81">
        <v>619</v>
      </c>
      <c r="N26" s="79">
        <f t="shared" si="18"/>
        <v>100.16181229773463</v>
      </c>
      <c r="O26" s="81">
        <v>619</v>
      </c>
      <c r="P26" s="79">
        <f t="shared" si="19"/>
        <v>100</v>
      </c>
      <c r="Q26" s="81">
        <v>621</v>
      </c>
      <c r="R26" s="79">
        <f t="shared" si="21"/>
        <v>100.32310177705976</v>
      </c>
      <c r="S26" s="81">
        <v>623</v>
      </c>
      <c r="T26" s="79">
        <f t="shared" si="22"/>
        <v>100.3220611916264</v>
      </c>
    </row>
    <row r="27" spans="1:20" ht="16.5" customHeight="1" x14ac:dyDescent="0.25">
      <c r="A27" s="120">
        <v>2</v>
      </c>
      <c r="B27" s="5" t="s">
        <v>63</v>
      </c>
      <c r="C27" s="10" t="s">
        <v>10</v>
      </c>
      <c r="D27" s="24">
        <f>D28+D29+D30</f>
        <v>175</v>
      </c>
      <c r="E27" s="25">
        <f>E28+E29+E30</f>
        <v>177</v>
      </c>
      <c r="F27" s="23">
        <f t="shared" si="0"/>
        <v>101.14285714285714</v>
      </c>
      <c r="G27" s="81">
        <f>G28+G29+G30</f>
        <v>293</v>
      </c>
      <c r="H27" s="79">
        <f t="shared" si="13"/>
        <v>165.5367231638418</v>
      </c>
      <c r="I27" s="81">
        <f>I28+I29+I30</f>
        <v>293</v>
      </c>
      <c r="J27" s="79">
        <f t="shared" si="14"/>
        <v>100</v>
      </c>
      <c r="K27" s="81">
        <f>K28+K29+K30</f>
        <v>293</v>
      </c>
      <c r="L27" s="79">
        <f t="shared" si="16"/>
        <v>100</v>
      </c>
      <c r="M27" s="83">
        <f>M28+M29+M30</f>
        <v>293</v>
      </c>
      <c r="N27" s="79">
        <f t="shared" si="18"/>
        <v>100</v>
      </c>
      <c r="O27" s="83">
        <f>O28+O29+O30</f>
        <v>293</v>
      </c>
      <c r="P27" s="79">
        <f t="shared" si="19"/>
        <v>100</v>
      </c>
      <c r="Q27" s="83">
        <f>Q28+Q29+Q30</f>
        <v>293</v>
      </c>
      <c r="R27" s="79">
        <f t="shared" si="21"/>
        <v>100</v>
      </c>
      <c r="S27" s="83">
        <f>S28+S29+S30</f>
        <v>293</v>
      </c>
      <c r="T27" s="79">
        <f t="shared" si="22"/>
        <v>100</v>
      </c>
    </row>
    <row r="28" spans="1:20" ht="16.5" customHeight="1" x14ac:dyDescent="0.25">
      <c r="A28" s="121"/>
      <c r="B28" s="5" t="s">
        <v>54</v>
      </c>
      <c r="C28" s="10" t="s">
        <v>10</v>
      </c>
      <c r="D28" s="24">
        <v>79</v>
      </c>
      <c r="E28" s="25">
        <v>79</v>
      </c>
      <c r="F28" s="23">
        <f t="shared" si="0"/>
        <v>100</v>
      </c>
      <c r="G28" s="81">
        <v>143</v>
      </c>
      <c r="H28" s="79">
        <f t="shared" si="13"/>
        <v>181.01265822784811</v>
      </c>
      <c r="I28" s="81">
        <v>143</v>
      </c>
      <c r="J28" s="79">
        <f t="shared" si="14"/>
        <v>100</v>
      </c>
      <c r="K28" s="81">
        <v>143</v>
      </c>
      <c r="L28" s="79">
        <f t="shared" si="16"/>
        <v>100</v>
      </c>
      <c r="M28" s="81">
        <v>143</v>
      </c>
      <c r="N28" s="79">
        <f t="shared" si="18"/>
        <v>100</v>
      </c>
      <c r="O28" s="81">
        <v>143</v>
      </c>
      <c r="P28" s="79">
        <f t="shared" si="19"/>
        <v>100</v>
      </c>
      <c r="Q28" s="81">
        <v>143</v>
      </c>
      <c r="R28" s="79">
        <f t="shared" si="21"/>
        <v>100</v>
      </c>
      <c r="S28" s="81">
        <v>143</v>
      </c>
      <c r="T28" s="79">
        <f t="shared" si="22"/>
        <v>100</v>
      </c>
    </row>
    <row r="29" spans="1:20" ht="16.5" customHeight="1" x14ac:dyDescent="0.25">
      <c r="A29" s="121"/>
      <c r="B29" s="5" t="s">
        <v>64</v>
      </c>
      <c r="C29" s="10" t="s">
        <v>10</v>
      </c>
      <c r="D29" s="24">
        <v>86</v>
      </c>
      <c r="E29" s="25">
        <f>57+29+2</f>
        <v>88</v>
      </c>
      <c r="F29" s="23">
        <f t="shared" si="0"/>
        <v>102.32558139534885</v>
      </c>
      <c r="G29" s="81">
        <v>137</v>
      </c>
      <c r="H29" s="79">
        <f t="shared" si="13"/>
        <v>155.68181818181819</v>
      </c>
      <c r="I29" s="81">
        <v>137</v>
      </c>
      <c r="J29" s="79">
        <f t="shared" si="14"/>
        <v>100</v>
      </c>
      <c r="K29" s="81">
        <v>137</v>
      </c>
      <c r="L29" s="79">
        <f t="shared" si="16"/>
        <v>100</v>
      </c>
      <c r="M29" s="81">
        <v>137</v>
      </c>
      <c r="N29" s="79">
        <f t="shared" si="18"/>
        <v>100</v>
      </c>
      <c r="O29" s="81">
        <v>137</v>
      </c>
      <c r="P29" s="79">
        <f t="shared" si="19"/>
        <v>100</v>
      </c>
      <c r="Q29" s="81">
        <v>137</v>
      </c>
      <c r="R29" s="79">
        <f t="shared" si="21"/>
        <v>100</v>
      </c>
      <c r="S29" s="81">
        <v>137</v>
      </c>
      <c r="T29" s="79">
        <f t="shared" si="22"/>
        <v>100</v>
      </c>
    </row>
    <row r="30" spans="1:20" ht="16.5" customHeight="1" x14ac:dyDescent="0.25">
      <c r="A30" s="122"/>
      <c r="B30" s="5" t="s">
        <v>65</v>
      </c>
      <c r="C30" s="10" t="s">
        <v>10</v>
      </c>
      <c r="D30" s="24">
        <v>10</v>
      </c>
      <c r="E30" s="25">
        <v>10</v>
      </c>
      <c r="F30" s="23">
        <f t="shared" si="0"/>
        <v>100</v>
      </c>
      <c r="G30" s="81">
        <v>13</v>
      </c>
      <c r="H30" s="79">
        <f t="shared" si="13"/>
        <v>130</v>
      </c>
      <c r="I30" s="81">
        <v>13</v>
      </c>
      <c r="J30" s="79">
        <f t="shared" si="14"/>
        <v>100</v>
      </c>
      <c r="K30" s="81">
        <v>13</v>
      </c>
      <c r="L30" s="79">
        <f t="shared" si="16"/>
        <v>100</v>
      </c>
      <c r="M30" s="81">
        <v>13</v>
      </c>
      <c r="N30" s="79">
        <f t="shared" si="18"/>
        <v>100</v>
      </c>
      <c r="O30" s="81">
        <v>13</v>
      </c>
      <c r="P30" s="79">
        <f t="shared" si="19"/>
        <v>100</v>
      </c>
      <c r="Q30" s="81">
        <v>13</v>
      </c>
      <c r="R30" s="79">
        <f t="shared" si="21"/>
        <v>100</v>
      </c>
      <c r="S30" s="81">
        <v>13</v>
      </c>
      <c r="T30" s="79">
        <f t="shared" si="22"/>
        <v>100</v>
      </c>
    </row>
    <row r="31" spans="1:20" ht="16.5" customHeight="1" x14ac:dyDescent="0.25">
      <c r="A31" s="120">
        <v>3</v>
      </c>
      <c r="B31" s="5" t="s">
        <v>69</v>
      </c>
      <c r="C31" s="10" t="s">
        <v>10</v>
      </c>
      <c r="D31" s="10">
        <v>15</v>
      </c>
      <c r="E31" s="10">
        <v>15</v>
      </c>
      <c r="F31" s="23">
        <f t="shared" si="0"/>
        <v>100</v>
      </c>
      <c r="G31" s="81">
        <v>15</v>
      </c>
      <c r="H31" s="79">
        <f t="shared" si="13"/>
        <v>100</v>
      </c>
      <c r="I31" s="81">
        <v>15</v>
      </c>
      <c r="J31" s="79">
        <f t="shared" si="14"/>
        <v>100</v>
      </c>
      <c r="K31" s="81">
        <v>15</v>
      </c>
      <c r="L31" s="79">
        <f t="shared" si="16"/>
        <v>100</v>
      </c>
      <c r="M31" s="81">
        <v>15</v>
      </c>
      <c r="N31" s="79">
        <f t="shared" si="18"/>
        <v>100</v>
      </c>
      <c r="O31" s="81">
        <v>15</v>
      </c>
      <c r="P31" s="79">
        <f t="shared" si="19"/>
        <v>100</v>
      </c>
      <c r="Q31" s="81">
        <v>15</v>
      </c>
      <c r="R31" s="79">
        <f t="shared" si="21"/>
        <v>100</v>
      </c>
      <c r="S31" s="81">
        <v>15</v>
      </c>
      <c r="T31" s="79">
        <f t="shared" si="22"/>
        <v>100</v>
      </c>
    </row>
    <row r="32" spans="1:20" ht="16.5" customHeight="1" x14ac:dyDescent="0.25">
      <c r="A32" s="121"/>
      <c r="B32" s="5" t="s">
        <v>52</v>
      </c>
      <c r="C32" s="10" t="s">
        <v>10</v>
      </c>
      <c r="D32" s="10">
        <v>8</v>
      </c>
      <c r="E32" s="10">
        <v>8</v>
      </c>
      <c r="F32" s="23">
        <f t="shared" si="0"/>
        <v>100</v>
      </c>
      <c r="G32" s="81">
        <v>12</v>
      </c>
      <c r="H32" s="79">
        <f t="shared" si="13"/>
        <v>150</v>
      </c>
      <c r="I32" s="81">
        <v>12</v>
      </c>
      <c r="J32" s="79">
        <f t="shared" si="14"/>
        <v>100</v>
      </c>
      <c r="K32" s="81">
        <v>12</v>
      </c>
      <c r="L32" s="79">
        <f t="shared" si="16"/>
        <v>100</v>
      </c>
      <c r="M32" s="81">
        <v>12</v>
      </c>
      <c r="N32" s="79">
        <f t="shared" si="18"/>
        <v>100</v>
      </c>
      <c r="O32" s="81">
        <v>12</v>
      </c>
      <c r="P32" s="79">
        <f t="shared" si="19"/>
        <v>100</v>
      </c>
      <c r="Q32" s="81">
        <v>12</v>
      </c>
      <c r="R32" s="79">
        <f t="shared" si="21"/>
        <v>100</v>
      </c>
      <c r="S32" s="81">
        <v>12</v>
      </c>
      <c r="T32" s="79">
        <f t="shared" si="22"/>
        <v>100</v>
      </c>
    </row>
    <row r="33" spans="1:20" ht="16.5" customHeight="1" x14ac:dyDescent="0.25">
      <c r="A33" s="121"/>
      <c r="B33" s="5" t="s">
        <v>53</v>
      </c>
      <c r="C33" s="10" t="s">
        <v>10</v>
      </c>
      <c r="D33" s="10">
        <v>5</v>
      </c>
      <c r="E33" s="10">
        <v>5</v>
      </c>
      <c r="F33" s="23">
        <f t="shared" si="0"/>
        <v>100</v>
      </c>
      <c r="G33" s="81">
        <v>7</v>
      </c>
      <c r="H33" s="79">
        <f t="shared" si="13"/>
        <v>140</v>
      </c>
      <c r="I33" s="81">
        <v>7</v>
      </c>
      <c r="J33" s="79">
        <f t="shared" si="14"/>
        <v>100</v>
      </c>
      <c r="K33" s="81">
        <v>7</v>
      </c>
      <c r="L33" s="79">
        <f t="shared" si="16"/>
        <v>100</v>
      </c>
      <c r="M33" s="81">
        <v>7</v>
      </c>
      <c r="N33" s="79">
        <f t="shared" si="18"/>
        <v>100</v>
      </c>
      <c r="O33" s="81">
        <v>7</v>
      </c>
      <c r="P33" s="79">
        <f t="shared" si="19"/>
        <v>100</v>
      </c>
      <c r="Q33" s="81">
        <v>7</v>
      </c>
      <c r="R33" s="79">
        <f t="shared" si="21"/>
        <v>100</v>
      </c>
      <c r="S33" s="81">
        <v>7</v>
      </c>
      <c r="T33" s="79">
        <f t="shared" si="22"/>
        <v>100</v>
      </c>
    </row>
    <row r="34" spans="1:20" ht="16.5" customHeight="1" x14ac:dyDescent="0.25">
      <c r="A34" s="122"/>
      <c r="B34" s="5" t="s">
        <v>65</v>
      </c>
      <c r="C34" s="10" t="s">
        <v>10</v>
      </c>
      <c r="D34" s="10">
        <v>2</v>
      </c>
      <c r="E34" s="10">
        <v>2</v>
      </c>
      <c r="F34" s="23">
        <f t="shared" si="0"/>
        <v>100</v>
      </c>
      <c r="G34" s="81">
        <v>3</v>
      </c>
      <c r="H34" s="79">
        <f t="shared" si="13"/>
        <v>150</v>
      </c>
      <c r="I34" s="81">
        <v>3</v>
      </c>
      <c r="J34" s="79">
        <f t="shared" si="14"/>
        <v>100</v>
      </c>
      <c r="K34" s="81">
        <v>3</v>
      </c>
      <c r="L34" s="79">
        <f t="shared" si="16"/>
        <v>100</v>
      </c>
      <c r="M34" s="81">
        <v>3</v>
      </c>
      <c r="N34" s="79">
        <f t="shared" si="18"/>
        <v>100</v>
      </c>
      <c r="O34" s="81">
        <v>3</v>
      </c>
      <c r="P34" s="79">
        <f t="shared" si="19"/>
        <v>100</v>
      </c>
      <c r="Q34" s="81">
        <v>3</v>
      </c>
      <c r="R34" s="79">
        <f t="shared" si="21"/>
        <v>100</v>
      </c>
      <c r="S34" s="81">
        <v>3</v>
      </c>
      <c r="T34" s="79">
        <f t="shared" si="22"/>
        <v>100</v>
      </c>
    </row>
    <row r="35" spans="1:20" ht="16.5" customHeight="1" x14ac:dyDescent="0.25">
      <c r="A35" s="120">
        <v>4</v>
      </c>
      <c r="B35" s="5" t="s">
        <v>70</v>
      </c>
      <c r="C35" s="10" t="s">
        <v>10</v>
      </c>
      <c r="D35" s="25">
        <v>1102</v>
      </c>
      <c r="E35" s="25">
        <v>1130</v>
      </c>
      <c r="F35" s="23">
        <f t="shared" si="0"/>
        <v>102.54083484573502</v>
      </c>
      <c r="G35" s="81">
        <f>G36+G37</f>
        <v>1736</v>
      </c>
      <c r="H35" s="79">
        <f t="shared" si="13"/>
        <v>153.6283185840708</v>
      </c>
      <c r="I35" s="81">
        <f>I36+I37</f>
        <v>1757</v>
      </c>
      <c r="J35" s="79">
        <f t="shared" si="14"/>
        <v>101.20967741935485</v>
      </c>
      <c r="K35" s="81">
        <f>K36+K37</f>
        <v>1791</v>
      </c>
      <c r="L35" s="79">
        <f t="shared" si="16"/>
        <v>101.93511667615253</v>
      </c>
      <c r="M35" s="81">
        <f>M36+M37</f>
        <v>1877</v>
      </c>
      <c r="N35" s="79">
        <f t="shared" si="18"/>
        <v>104.80178671133444</v>
      </c>
      <c r="O35" s="81">
        <f>O36+O37</f>
        <v>1916</v>
      </c>
      <c r="P35" s="79">
        <f t="shared" si="19"/>
        <v>102.07778369738945</v>
      </c>
      <c r="Q35" s="81">
        <f>Q36+Q37</f>
        <v>1941</v>
      </c>
      <c r="R35" s="79">
        <f t="shared" si="21"/>
        <v>101.30480167014613</v>
      </c>
      <c r="S35" s="81">
        <f>S36+S37</f>
        <v>1963</v>
      </c>
      <c r="T35" s="79">
        <f t="shared" si="22"/>
        <v>101.1334363730036</v>
      </c>
    </row>
    <row r="36" spans="1:20" ht="16.5" customHeight="1" x14ac:dyDescent="0.25">
      <c r="A36" s="121"/>
      <c r="B36" s="5" t="s">
        <v>54</v>
      </c>
      <c r="C36" s="10" t="s">
        <v>10</v>
      </c>
      <c r="D36" s="25">
        <f t="shared" ref="D36:E36" si="35">D35-D37</f>
        <v>753</v>
      </c>
      <c r="E36" s="25">
        <f t="shared" si="35"/>
        <v>780</v>
      </c>
      <c r="F36" s="23">
        <f t="shared" si="0"/>
        <v>103.58565737051792</v>
      </c>
      <c r="G36" s="81">
        <v>1238</v>
      </c>
      <c r="H36" s="79">
        <f t="shared" si="13"/>
        <v>158.7179487179487</v>
      </c>
      <c r="I36" s="81">
        <v>1245</v>
      </c>
      <c r="J36" s="79">
        <f t="shared" si="14"/>
        <v>100.56542810985461</v>
      </c>
      <c r="K36" s="81">
        <v>1256</v>
      </c>
      <c r="L36" s="79">
        <f t="shared" si="16"/>
        <v>100.88353413654619</v>
      </c>
      <c r="M36" s="81">
        <v>1275</v>
      </c>
      <c r="N36" s="79">
        <f t="shared" si="18"/>
        <v>101.51273885350318</v>
      </c>
      <c r="O36" s="81">
        <v>1301</v>
      </c>
      <c r="P36" s="79">
        <f t="shared" si="19"/>
        <v>102.03921568627452</v>
      </c>
      <c r="Q36" s="81">
        <v>1318</v>
      </c>
      <c r="R36" s="79">
        <f t="shared" si="21"/>
        <v>101.30668716372023</v>
      </c>
      <c r="S36" s="81">
        <v>1325</v>
      </c>
      <c r="T36" s="79">
        <f t="shared" si="22"/>
        <v>100.53110773899849</v>
      </c>
    </row>
    <row r="37" spans="1:20" ht="16.5" customHeight="1" x14ac:dyDescent="0.25">
      <c r="A37" s="122"/>
      <c r="B37" s="5" t="s">
        <v>64</v>
      </c>
      <c r="C37" s="10" t="s">
        <v>10</v>
      </c>
      <c r="D37" s="25">
        <v>349</v>
      </c>
      <c r="E37" s="25">
        <v>350</v>
      </c>
      <c r="F37" s="23">
        <f t="shared" si="0"/>
        <v>100.2865329512894</v>
      </c>
      <c r="G37" s="81">
        <v>498</v>
      </c>
      <c r="H37" s="79">
        <f t="shared" si="13"/>
        <v>142.28571428571428</v>
      </c>
      <c r="I37" s="81">
        <v>512</v>
      </c>
      <c r="J37" s="79">
        <f t="shared" si="14"/>
        <v>102.81124497991966</v>
      </c>
      <c r="K37" s="81">
        <v>535</v>
      </c>
      <c r="L37" s="79">
        <f t="shared" si="16"/>
        <v>104.4921875</v>
      </c>
      <c r="M37" s="81">
        <v>602</v>
      </c>
      <c r="N37" s="79">
        <f t="shared" si="18"/>
        <v>112.5233644859813</v>
      </c>
      <c r="O37" s="81">
        <v>615</v>
      </c>
      <c r="P37" s="79">
        <f t="shared" si="19"/>
        <v>102.1594684385382</v>
      </c>
      <c r="Q37" s="81">
        <v>623</v>
      </c>
      <c r="R37" s="79">
        <f t="shared" si="21"/>
        <v>101.30081300813008</v>
      </c>
      <c r="S37" s="81">
        <v>638</v>
      </c>
      <c r="T37" s="79">
        <f t="shared" si="22"/>
        <v>102.40770465489565</v>
      </c>
    </row>
    <row r="38" spans="1:20" ht="39.75" customHeight="1" x14ac:dyDescent="0.25">
      <c r="A38" s="6">
        <v>5</v>
      </c>
      <c r="B38" s="5" t="s">
        <v>42</v>
      </c>
      <c r="C38" s="10" t="s">
        <v>41</v>
      </c>
      <c r="D38" s="24">
        <v>57</v>
      </c>
      <c r="E38" s="24">
        <v>57</v>
      </c>
      <c r="F38" s="23">
        <f t="shared" si="0"/>
        <v>100</v>
      </c>
      <c r="G38" s="78">
        <v>56</v>
      </c>
      <c r="H38" s="79">
        <f t="shared" si="13"/>
        <v>98.245614035087712</v>
      </c>
      <c r="I38" s="78">
        <v>56</v>
      </c>
      <c r="J38" s="79">
        <f t="shared" si="14"/>
        <v>100</v>
      </c>
      <c r="K38" s="78">
        <v>57</v>
      </c>
      <c r="L38" s="79">
        <f t="shared" si="16"/>
        <v>101.78571428571428</v>
      </c>
      <c r="M38" s="78">
        <v>56</v>
      </c>
      <c r="N38" s="79">
        <f t="shared" si="18"/>
        <v>98.245614035087712</v>
      </c>
      <c r="O38" s="78">
        <v>57</v>
      </c>
      <c r="P38" s="79">
        <f t="shared" si="19"/>
        <v>101.78571428571428</v>
      </c>
      <c r="Q38" s="78">
        <v>57</v>
      </c>
      <c r="R38" s="79">
        <f t="shared" si="21"/>
        <v>100</v>
      </c>
      <c r="S38" s="78">
        <v>57</v>
      </c>
      <c r="T38" s="79">
        <f t="shared" si="22"/>
        <v>100</v>
      </c>
    </row>
    <row r="39" spans="1:20" ht="39.75" customHeight="1" x14ac:dyDescent="0.25">
      <c r="A39" s="6">
        <v>6</v>
      </c>
      <c r="B39" s="5" t="s">
        <v>40</v>
      </c>
      <c r="C39" s="10" t="s">
        <v>10</v>
      </c>
      <c r="D39" s="24">
        <f>D9-4105</f>
        <v>45</v>
      </c>
      <c r="E39" s="24">
        <f>E9-D9</f>
        <v>55</v>
      </c>
      <c r="F39" s="23">
        <f t="shared" si="0"/>
        <v>122.22222222222223</v>
      </c>
      <c r="G39" s="78">
        <f>G9-E9</f>
        <v>1895</v>
      </c>
      <c r="H39" s="79">
        <f>G39/E39*100</f>
        <v>3445.4545454545455</v>
      </c>
      <c r="I39" s="78">
        <f>I9-G9</f>
        <v>100</v>
      </c>
      <c r="J39" s="79">
        <f t="shared" si="14"/>
        <v>5.2770448548812663</v>
      </c>
      <c r="K39" s="78">
        <f>K9-I9</f>
        <v>50</v>
      </c>
      <c r="L39" s="79">
        <f t="shared" si="16"/>
        <v>50</v>
      </c>
      <c r="M39" s="78">
        <f>M9-G9</f>
        <v>200</v>
      </c>
      <c r="N39" s="79">
        <f t="shared" si="18"/>
        <v>400</v>
      </c>
      <c r="O39" s="78">
        <f>O9-M9</f>
        <v>20</v>
      </c>
      <c r="P39" s="79">
        <f t="shared" si="19"/>
        <v>10</v>
      </c>
      <c r="Q39" s="78">
        <f>Q9-K9</f>
        <v>120</v>
      </c>
      <c r="R39" s="79">
        <f t="shared" si="21"/>
        <v>600</v>
      </c>
      <c r="S39" s="78">
        <f>S9-Q9</f>
        <v>30</v>
      </c>
      <c r="T39" s="79">
        <f t="shared" si="22"/>
        <v>25</v>
      </c>
    </row>
    <row r="40" spans="1:20" ht="54.75" customHeight="1" x14ac:dyDescent="0.25">
      <c r="A40" s="6">
        <v>7</v>
      </c>
      <c r="B40" s="5" t="s">
        <v>39</v>
      </c>
      <c r="C40" s="10" t="s">
        <v>0</v>
      </c>
      <c r="D40" s="24">
        <v>4.5</v>
      </c>
      <c r="E40" s="24">
        <v>4</v>
      </c>
      <c r="F40" s="23">
        <f t="shared" si="0"/>
        <v>88.888888888888886</v>
      </c>
      <c r="G40" s="78">
        <v>5</v>
      </c>
      <c r="H40" s="79">
        <f t="shared" si="13"/>
        <v>125</v>
      </c>
      <c r="I40" s="78">
        <v>4.5</v>
      </c>
      <c r="J40" s="79">
        <f t="shared" si="14"/>
        <v>90</v>
      </c>
      <c r="K40" s="78">
        <v>4</v>
      </c>
      <c r="L40" s="79">
        <f t="shared" si="16"/>
        <v>88.888888888888886</v>
      </c>
      <c r="M40" s="78">
        <v>3</v>
      </c>
      <c r="N40" s="79">
        <f t="shared" si="18"/>
        <v>75</v>
      </c>
      <c r="O40" s="78">
        <v>3</v>
      </c>
      <c r="P40" s="79">
        <f t="shared" si="19"/>
        <v>100</v>
      </c>
      <c r="Q40" s="78">
        <v>3</v>
      </c>
      <c r="R40" s="79">
        <f t="shared" si="21"/>
        <v>100</v>
      </c>
      <c r="S40" s="78">
        <v>3</v>
      </c>
      <c r="T40" s="79">
        <f t="shared" si="22"/>
        <v>100</v>
      </c>
    </row>
    <row r="41" spans="1:20" ht="21.75" customHeight="1" x14ac:dyDescent="0.25">
      <c r="A41" s="8" t="s">
        <v>38</v>
      </c>
      <c r="B41" s="7" t="s">
        <v>37</v>
      </c>
      <c r="C41" s="5"/>
      <c r="D41" s="24"/>
      <c r="E41" s="24"/>
      <c r="F41" s="23"/>
      <c r="G41" s="72"/>
      <c r="H41" s="73"/>
      <c r="I41" s="72"/>
      <c r="J41" s="73"/>
      <c r="K41" s="72"/>
      <c r="L41" s="73"/>
      <c r="M41" s="72"/>
      <c r="N41" s="73"/>
      <c r="O41" s="72"/>
      <c r="P41" s="73"/>
      <c r="Q41" s="72"/>
      <c r="R41" s="73"/>
      <c r="S41" s="72"/>
      <c r="T41" s="73"/>
    </row>
    <row r="42" spans="1:20" ht="36" customHeight="1" x14ac:dyDescent="0.25">
      <c r="A42" s="120">
        <v>8</v>
      </c>
      <c r="B42" s="5" t="s">
        <v>36</v>
      </c>
      <c r="C42" s="10" t="s">
        <v>33</v>
      </c>
      <c r="D42" s="4">
        <f>7300000/D9</f>
        <v>1759.0361445783133</v>
      </c>
      <c r="E42" s="4">
        <f>32500000/E9</f>
        <v>7728.8941736028537</v>
      </c>
      <c r="F42" s="23">
        <f t="shared" si="0"/>
        <v>439.38234000618957</v>
      </c>
      <c r="G42" s="79">
        <v>14959.9</v>
      </c>
      <c r="H42" s="79">
        <f>G42/E42*100</f>
        <v>193.55809076923077</v>
      </c>
      <c r="I42" s="79">
        <v>9207.7000000000007</v>
      </c>
      <c r="J42" s="79">
        <f>I42/G42*100</f>
        <v>61.549208216632465</v>
      </c>
      <c r="K42" s="79">
        <f>42250/6250*1000</f>
        <v>6760</v>
      </c>
      <c r="L42" s="79">
        <f>K42/I42*100</f>
        <v>73.416814188125144</v>
      </c>
      <c r="M42" s="79">
        <f>13289/6300*1000</f>
        <v>2109.3650793650795</v>
      </c>
      <c r="N42" s="79">
        <f>M42/K42*100</f>
        <v>31.203625434394667</v>
      </c>
      <c r="O42" s="79">
        <f>11240/6320*1000</f>
        <v>1778.4810126582279</v>
      </c>
      <c r="P42" s="79">
        <f>O42/M42*100</f>
        <v>84.313570469913728</v>
      </c>
      <c r="Q42" s="79">
        <f>6863.9/6370*100</f>
        <v>107.7535321821036</v>
      </c>
      <c r="R42" s="79">
        <f>Q42/O42*100</f>
        <v>6.0587395319474622</v>
      </c>
      <c r="S42" s="79">
        <f>5200/6400*100</f>
        <v>81.25</v>
      </c>
      <c r="T42" s="79">
        <f>S42/Q42*100</f>
        <v>75.403560657935003</v>
      </c>
    </row>
    <row r="43" spans="1:20" ht="34.5" customHeight="1" x14ac:dyDescent="0.25">
      <c r="A43" s="122"/>
      <c r="B43" s="5" t="s">
        <v>35</v>
      </c>
      <c r="C43" s="10" t="s">
        <v>33</v>
      </c>
      <c r="D43" s="4">
        <f>2000000/D9</f>
        <v>481.92771084337352</v>
      </c>
      <c r="E43" s="4">
        <f>5000000/E9</f>
        <v>1189.0606420927468</v>
      </c>
      <c r="F43" s="23">
        <f t="shared" si="0"/>
        <v>246.73008323424494</v>
      </c>
      <c r="G43" s="79">
        <v>5300.8</v>
      </c>
      <c r="H43" s="79">
        <f>G43/E43*100</f>
        <v>445.79728</v>
      </c>
      <c r="I43" s="79">
        <f>14869.511/6200*1000</f>
        <v>2398.3082258064519</v>
      </c>
      <c r="J43" s="79">
        <f t="shared" ref="J43:J44" si="36">I43/G43*100</f>
        <v>45.244269276457359</v>
      </c>
      <c r="K43" s="79">
        <f>8000/6250*1000</f>
        <v>1280</v>
      </c>
      <c r="L43" s="79">
        <f t="shared" ref="L43:L44" si="37">K43/I43*100</f>
        <v>53.370954835031213</v>
      </c>
      <c r="M43" s="79">
        <f>4000/6300*1000</f>
        <v>634.92063492063494</v>
      </c>
      <c r="N43" s="79">
        <f t="shared" ref="N43:N44" si="38">M43/K43*100</f>
        <v>49.603174603174608</v>
      </c>
      <c r="O43" s="79">
        <f>4000/6320*1000</f>
        <v>632.91139240506334</v>
      </c>
      <c r="P43" s="79">
        <f t="shared" ref="P43:P44" si="39">O43/M43*100</f>
        <v>99.683544303797476</v>
      </c>
      <c r="Q43" s="79">
        <f>1573.9/6370*1000</f>
        <v>247.08006279434852</v>
      </c>
      <c r="R43" s="79">
        <f t="shared" ref="R43:R44" si="40">Q43/O43*100</f>
        <v>39.038649921507066</v>
      </c>
      <c r="S43" s="79">
        <v>0</v>
      </c>
      <c r="T43" s="79">
        <f t="shared" ref="T43:T44" si="41">S43/Q43*100</f>
        <v>0</v>
      </c>
    </row>
    <row r="44" spans="1:20" ht="42" customHeight="1" x14ac:dyDescent="0.25">
      <c r="A44" s="6">
        <v>9</v>
      </c>
      <c r="B44" s="5" t="s">
        <v>34</v>
      </c>
      <c r="C44" s="10" t="s">
        <v>33</v>
      </c>
      <c r="D44" s="4">
        <f>(2345747+30000)/D9</f>
        <v>572.46915662650599</v>
      </c>
      <c r="E44" s="4">
        <f>(1574900+691300)/E9</f>
        <v>538.9298454221165</v>
      </c>
      <c r="F44" s="23">
        <f t="shared" si="0"/>
        <v>94.141289392421996</v>
      </c>
      <c r="G44" s="79">
        <f>4257/6100*1000</f>
        <v>697.86885245901647</v>
      </c>
      <c r="H44" s="79">
        <f>G44/E44*100</f>
        <v>129.49159494264251</v>
      </c>
      <c r="I44" s="79">
        <f>3268.891/6200*1000</f>
        <v>527.24048387096775</v>
      </c>
      <c r="J44" s="79">
        <f t="shared" si="36"/>
        <v>75.550081080876268</v>
      </c>
      <c r="K44" s="79">
        <v>0</v>
      </c>
      <c r="L44" s="79">
        <f t="shared" si="37"/>
        <v>0</v>
      </c>
      <c r="M44" s="79">
        <f>4235.3/6300*1000</f>
        <v>672.26984126984132</v>
      </c>
      <c r="N44" s="79" t="e">
        <f t="shared" si="38"/>
        <v>#DIV/0!</v>
      </c>
      <c r="O44" s="79">
        <v>0</v>
      </c>
      <c r="P44" s="79">
        <f t="shared" si="39"/>
        <v>0</v>
      </c>
      <c r="Q44" s="79">
        <v>0</v>
      </c>
      <c r="R44" s="79" t="e">
        <f t="shared" si="40"/>
        <v>#DIV/0!</v>
      </c>
      <c r="S44" s="79">
        <v>0</v>
      </c>
      <c r="T44" s="79" t="e">
        <f t="shared" si="41"/>
        <v>#DIV/0!</v>
      </c>
    </row>
    <row r="45" spans="1:20" ht="48.75" customHeight="1" x14ac:dyDescent="0.25">
      <c r="A45" s="6">
        <v>9</v>
      </c>
      <c r="B45" s="5" t="s">
        <v>32</v>
      </c>
      <c r="C45" s="10" t="s">
        <v>23</v>
      </c>
      <c r="D45" s="4">
        <v>2</v>
      </c>
      <c r="E45" s="4">
        <v>2</v>
      </c>
      <c r="F45" s="23">
        <f t="shared" si="0"/>
        <v>100</v>
      </c>
      <c r="G45" s="79">
        <v>1.9</v>
      </c>
      <c r="H45" s="79">
        <f t="shared" si="13"/>
        <v>95</v>
      </c>
      <c r="I45" s="79">
        <v>2</v>
      </c>
      <c r="J45" s="79">
        <f t="shared" si="14"/>
        <v>105.26315789473684</v>
      </c>
      <c r="K45" s="79">
        <v>2</v>
      </c>
      <c r="L45" s="79">
        <f t="shared" si="16"/>
        <v>100</v>
      </c>
      <c r="M45" s="79">
        <v>2.1</v>
      </c>
      <c r="N45" s="79">
        <f t="shared" si="18"/>
        <v>105</v>
      </c>
      <c r="O45" s="79">
        <v>2.1</v>
      </c>
      <c r="P45" s="79">
        <f t="shared" si="19"/>
        <v>100</v>
      </c>
      <c r="Q45" s="79">
        <v>2.1</v>
      </c>
      <c r="R45" s="79">
        <f t="shared" si="21"/>
        <v>100</v>
      </c>
      <c r="S45" s="79">
        <v>2.1</v>
      </c>
      <c r="T45" s="79">
        <f t="shared" si="22"/>
        <v>100</v>
      </c>
    </row>
    <row r="46" spans="1:20" ht="41.25" customHeight="1" x14ac:dyDescent="0.25">
      <c r="A46" s="120">
        <v>10</v>
      </c>
      <c r="B46" s="5" t="s">
        <v>31</v>
      </c>
      <c r="C46" s="10" t="s">
        <v>23</v>
      </c>
      <c r="D46" s="12">
        <v>0.05</v>
      </c>
      <c r="E46" s="79">
        <v>0.1</v>
      </c>
      <c r="F46" s="84">
        <f t="shared" si="0"/>
        <v>200</v>
      </c>
      <c r="G46" s="108">
        <v>0.02</v>
      </c>
      <c r="H46" s="79">
        <f t="shared" si="13"/>
        <v>20</v>
      </c>
      <c r="I46" s="108">
        <v>0.05</v>
      </c>
      <c r="J46" s="79">
        <f t="shared" si="14"/>
        <v>250</v>
      </c>
      <c r="K46" s="79">
        <v>0.1</v>
      </c>
      <c r="L46" s="79">
        <f t="shared" si="16"/>
        <v>200</v>
      </c>
      <c r="M46" s="79">
        <v>0.1</v>
      </c>
      <c r="N46" s="79">
        <f t="shared" si="18"/>
        <v>100</v>
      </c>
      <c r="O46" s="79">
        <v>0.1</v>
      </c>
      <c r="P46" s="79">
        <f t="shared" si="19"/>
        <v>100</v>
      </c>
      <c r="Q46" s="79">
        <v>0.1</v>
      </c>
      <c r="R46" s="79">
        <f t="shared" si="21"/>
        <v>100</v>
      </c>
      <c r="S46" s="79">
        <v>0.1</v>
      </c>
      <c r="T46" s="79">
        <f t="shared" si="22"/>
        <v>100</v>
      </c>
    </row>
    <row r="47" spans="1:20" ht="15.75" x14ac:dyDescent="0.25">
      <c r="A47" s="121"/>
      <c r="B47" s="5" t="s">
        <v>30</v>
      </c>
      <c r="C47" s="10"/>
      <c r="D47" s="24"/>
      <c r="E47" s="78"/>
      <c r="F47" s="84"/>
      <c r="G47" s="78"/>
      <c r="H47" s="79"/>
      <c r="I47" s="78"/>
      <c r="J47" s="79"/>
      <c r="K47" s="78"/>
      <c r="L47" s="79"/>
      <c r="M47" s="78"/>
      <c r="N47" s="79"/>
      <c r="O47" s="78"/>
      <c r="P47" s="79"/>
      <c r="Q47" s="78"/>
      <c r="R47" s="79"/>
      <c r="S47" s="78"/>
      <c r="T47" s="79"/>
    </row>
    <row r="48" spans="1:20" ht="22.5" customHeight="1" x14ac:dyDescent="0.25">
      <c r="A48" s="121"/>
      <c r="B48" s="5" t="s">
        <v>29</v>
      </c>
      <c r="C48" s="10"/>
      <c r="D48" s="78">
        <v>0.05</v>
      </c>
      <c r="E48" s="78">
        <v>0.05</v>
      </c>
      <c r="F48" s="84">
        <f t="shared" si="0"/>
        <v>100</v>
      </c>
      <c r="G48" s="78">
        <v>0.02</v>
      </c>
      <c r="H48" s="79">
        <f t="shared" si="13"/>
        <v>40</v>
      </c>
      <c r="I48" s="78">
        <v>0.05</v>
      </c>
      <c r="J48" s="79">
        <f t="shared" si="14"/>
        <v>250</v>
      </c>
      <c r="K48" s="78">
        <v>0.05</v>
      </c>
      <c r="L48" s="79">
        <f t="shared" si="16"/>
        <v>100</v>
      </c>
      <c r="M48" s="78">
        <v>0.1</v>
      </c>
      <c r="N48" s="79">
        <f t="shared" si="18"/>
        <v>200</v>
      </c>
      <c r="O48" s="78">
        <v>0.1</v>
      </c>
      <c r="P48" s="79">
        <f t="shared" si="19"/>
        <v>100</v>
      </c>
      <c r="Q48" s="78">
        <v>0.1</v>
      </c>
      <c r="R48" s="79">
        <f t="shared" si="21"/>
        <v>100</v>
      </c>
      <c r="S48" s="78">
        <v>0.1</v>
      </c>
      <c r="T48" s="79">
        <f t="shared" si="22"/>
        <v>100</v>
      </c>
    </row>
    <row r="49" spans="1:21" ht="25.5" customHeight="1" x14ac:dyDescent="0.25">
      <c r="A49" s="121"/>
      <c r="B49" s="5" t="s">
        <v>28</v>
      </c>
      <c r="C49" s="10"/>
      <c r="D49" s="78">
        <v>0</v>
      </c>
      <c r="E49" s="78">
        <v>0</v>
      </c>
      <c r="F49" s="84">
        <v>0</v>
      </c>
      <c r="G49" s="78">
        <v>0</v>
      </c>
      <c r="H49" s="79">
        <v>0</v>
      </c>
      <c r="I49" s="78">
        <v>0</v>
      </c>
      <c r="J49" s="79">
        <v>0</v>
      </c>
      <c r="K49" s="78">
        <v>0</v>
      </c>
      <c r="L49" s="79">
        <v>0</v>
      </c>
      <c r="M49" s="78">
        <v>0</v>
      </c>
      <c r="N49" s="79">
        <v>0</v>
      </c>
      <c r="O49" s="78">
        <v>0</v>
      </c>
      <c r="P49" s="79">
        <v>0</v>
      </c>
      <c r="Q49" s="78">
        <v>0</v>
      </c>
      <c r="R49" s="79">
        <v>0</v>
      </c>
      <c r="S49" s="78">
        <v>0</v>
      </c>
      <c r="T49" s="79">
        <v>0</v>
      </c>
    </row>
    <row r="50" spans="1:21" ht="18" customHeight="1" x14ac:dyDescent="0.25">
      <c r="A50" s="122"/>
      <c r="B50" s="5" t="s">
        <v>27</v>
      </c>
      <c r="C50" s="10"/>
      <c r="D50" s="78">
        <v>0</v>
      </c>
      <c r="E50" s="78">
        <v>0</v>
      </c>
      <c r="F50" s="84">
        <v>0</v>
      </c>
      <c r="G50" s="78">
        <v>0</v>
      </c>
      <c r="H50" s="79">
        <v>0</v>
      </c>
      <c r="I50" s="78">
        <v>0</v>
      </c>
      <c r="J50" s="79">
        <v>0</v>
      </c>
      <c r="K50" s="78">
        <v>0</v>
      </c>
      <c r="L50" s="79">
        <v>0</v>
      </c>
      <c r="M50" s="78">
        <v>0</v>
      </c>
      <c r="N50" s="79">
        <v>0</v>
      </c>
      <c r="O50" s="78">
        <v>0</v>
      </c>
      <c r="P50" s="79">
        <v>0</v>
      </c>
      <c r="Q50" s="78">
        <v>0</v>
      </c>
      <c r="R50" s="79">
        <v>0</v>
      </c>
      <c r="S50" s="78">
        <v>0</v>
      </c>
      <c r="T50" s="79">
        <v>0</v>
      </c>
    </row>
    <row r="51" spans="1:21" ht="56.25" customHeight="1" x14ac:dyDescent="0.25">
      <c r="A51" s="9">
        <v>11</v>
      </c>
      <c r="B51" s="5" t="s">
        <v>26</v>
      </c>
      <c r="C51" s="10" t="s">
        <v>25</v>
      </c>
      <c r="D51" s="78">
        <v>0</v>
      </c>
      <c r="E51" s="78">
        <v>0</v>
      </c>
      <c r="F51" s="84">
        <v>0</v>
      </c>
      <c r="G51" s="79">
        <v>9.1</v>
      </c>
      <c r="H51" s="79" t="e">
        <f t="shared" si="13"/>
        <v>#DIV/0!</v>
      </c>
      <c r="I51" s="78">
        <v>25.2</v>
      </c>
      <c r="J51" s="79">
        <f t="shared" si="14"/>
        <v>276.92307692307691</v>
      </c>
      <c r="K51" s="78">
        <v>0</v>
      </c>
      <c r="L51" s="79">
        <v>0</v>
      </c>
      <c r="M51" s="78">
        <v>0</v>
      </c>
      <c r="N51" s="79" t="e">
        <f t="shared" si="18"/>
        <v>#DIV/0!</v>
      </c>
      <c r="O51" s="78">
        <v>0</v>
      </c>
      <c r="P51" s="79" t="e">
        <f t="shared" si="19"/>
        <v>#DIV/0!</v>
      </c>
      <c r="Q51" s="78">
        <v>0</v>
      </c>
      <c r="R51" s="79">
        <v>0</v>
      </c>
      <c r="S51" s="78">
        <v>0</v>
      </c>
      <c r="T51" s="79" t="e">
        <f t="shared" si="22"/>
        <v>#DIV/0!</v>
      </c>
    </row>
    <row r="52" spans="1:21" ht="52.5" customHeight="1" x14ac:dyDescent="0.25">
      <c r="A52" s="9">
        <v>12</v>
      </c>
      <c r="B52" s="5" t="s">
        <v>24</v>
      </c>
      <c r="C52" s="10" t="s">
        <v>23</v>
      </c>
      <c r="D52" s="24">
        <v>8</v>
      </c>
      <c r="E52" s="24">
        <v>10</v>
      </c>
      <c r="F52" s="23">
        <f t="shared" si="0"/>
        <v>125</v>
      </c>
      <c r="G52" s="78">
        <v>7</v>
      </c>
      <c r="H52" s="79">
        <f t="shared" si="13"/>
        <v>70</v>
      </c>
      <c r="I52" s="78">
        <v>5</v>
      </c>
      <c r="J52" s="79">
        <f t="shared" si="14"/>
        <v>71.428571428571431</v>
      </c>
      <c r="K52" s="78">
        <v>4</v>
      </c>
      <c r="L52" s="79">
        <f t="shared" si="16"/>
        <v>80</v>
      </c>
      <c r="M52" s="78">
        <v>4</v>
      </c>
      <c r="N52" s="79">
        <f t="shared" si="18"/>
        <v>100</v>
      </c>
      <c r="O52" s="78">
        <v>2</v>
      </c>
      <c r="P52" s="79">
        <f t="shared" si="19"/>
        <v>50</v>
      </c>
      <c r="Q52" s="78">
        <v>1</v>
      </c>
      <c r="R52" s="79">
        <f t="shared" si="21"/>
        <v>50</v>
      </c>
      <c r="S52" s="78">
        <v>0</v>
      </c>
      <c r="T52" s="79">
        <f t="shared" si="22"/>
        <v>0</v>
      </c>
    </row>
    <row r="53" spans="1:21" ht="37.5" customHeight="1" x14ac:dyDescent="0.25">
      <c r="A53" s="9">
        <v>13</v>
      </c>
      <c r="B53" s="5" t="s">
        <v>22</v>
      </c>
      <c r="C53" s="10" t="s">
        <v>0</v>
      </c>
      <c r="D53" s="24">
        <v>18</v>
      </c>
      <c r="E53" s="24">
        <v>18</v>
      </c>
      <c r="F53" s="84">
        <f t="shared" si="0"/>
        <v>100</v>
      </c>
      <c r="G53" s="78">
        <v>20</v>
      </c>
      <c r="H53" s="79">
        <f t="shared" si="13"/>
        <v>111.11111111111111</v>
      </c>
      <c r="I53" s="78">
        <v>20</v>
      </c>
      <c r="J53" s="79">
        <f t="shared" si="14"/>
        <v>100</v>
      </c>
      <c r="K53" s="78">
        <v>19</v>
      </c>
      <c r="L53" s="79">
        <f t="shared" si="16"/>
        <v>95</v>
      </c>
      <c r="M53" s="78">
        <v>19</v>
      </c>
      <c r="N53" s="79">
        <f t="shared" si="18"/>
        <v>100</v>
      </c>
      <c r="O53" s="78">
        <v>19</v>
      </c>
      <c r="P53" s="79">
        <f t="shared" si="19"/>
        <v>100</v>
      </c>
      <c r="Q53" s="78">
        <v>18</v>
      </c>
      <c r="R53" s="79">
        <f t="shared" si="21"/>
        <v>94.73684210526315</v>
      </c>
      <c r="S53" s="78">
        <v>18</v>
      </c>
      <c r="T53" s="79">
        <f t="shared" si="22"/>
        <v>100</v>
      </c>
    </row>
    <row r="54" spans="1:21" ht="39.75" customHeight="1" x14ac:dyDescent="0.25">
      <c r="A54" s="11" t="s">
        <v>21</v>
      </c>
      <c r="B54" s="7" t="s">
        <v>20</v>
      </c>
      <c r="C54" s="10"/>
      <c r="D54" s="102"/>
      <c r="E54" s="4"/>
      <c r="F54" s="102"/>
      <c r="G54" s="4"/>
      <c r="H54" s="102"/>
      <c r="I54" s="4"/>
      <c r="J54" s="102"/>
      <c r="K54" s="4"/>
      <c r="L54" s="102"/>
      <c r="M54" s="101"/>
      <c r="N54" s="73"/>
      <c r="O54" s="72"/>
      <c r="P54" s="73"/>
      <c r="Q54" s="72"/>
      <c r="R54" s="73"/>
      <c r="S54" s="72"/>
      <c r="T54" s="73"/>
    </row>
    <row r="55" spans="1:21" ht="69" customHeight="1" x14ac:dyDescent="0.25">
      <c r="A55" s="6">
        <v>14</v>
      </c>
      <c r="B55" s="5" t="s">
        <v>153</v>
      </c>
      <c r="C55" s="10" t="s">
        <v>16</v>
      </c>
      <c r="D55" s="4">
        <v>4598.1000000000004</v>
      </c>
      <c r="E55" s="4">
        <v>4848.1000000000004</v>
      </c>
      <c r="F55" s="84">
        <f t="shared" si="0"/>
        <v>105.43702833779169</v>
      </c>
      <c r="G55" s="79">
        <v>4508.2</v>
      </c>
      <c r="H55" s="79">
        <f t="shared" si="13"/>
        <v>92.989006002351431</v>
      </c>
      <c r="I55" s="79">
        <v>4596.8</v>
      </c>
      <c r="J55" s="79">
        <f t="shared" si="14"/>
        <v>101.96530766159444</v>
      </c>
      <c r="K55" s="79">
        <v>4688</v>
      </c>
      <c r="L55" s="79">
        <f t="shared" si="16"/>
        <v>101.98398886181693</v>
      </c>
      <c r="M55" s="79">
        <v>4920.6000000000004</v>
      </c>
      <c r="N55" s="79">
        <f t="shared" si="18"/>
        <v>104.96160409556315</v>
      </c>
      <c r="O55" s="79">
        <v>4968.3999999999996</v>
      </c>
      <c r="P55" s="79">
        <f t="shared" si="19"/>
        <v>100.97142624883142</v>
      </c>
      <c r="Q55" s="79">
        <v>4984.3</v>
      </c>
      <c r="R55" s="79">
        <f t="shared" si="21"/>
        <v>100.32002254246841</v>
      </c>
      <c r="S55" s="79">
        <v>5000</v>
      </c>
      <c r="T55" s="79">
        <f t="shared" si="22"/>
        <v>100.31498906566618</v>
      </c>
    </row>
    <row r="56" spans="1:21" ht="71.25" customHeight="1" x14ac:dyDescent="0.25">
      <c r="A56" s="6">
        <v>15</v>
      </c>
      <c r="B56" s="5" t="s">
        <v>154</v>
      </c>
      <c r="C56" s="10" t="s">
        <v>16</v>
      </c>
      <c r="D56" s="23">
        <v>1033.3</v>
      </c>
      <c r="E56" s="4">
        <f>6800000/E9</f>
        <v>1617.1224732461355</v>
      </c>
      <c r="F56" s="23">
        <f t="shared" si="0"/>
        <v>156.500771629356</v>
      </c>
      <c r="G56" s="4">
        <v>1065.5999999999999</v>
      </c>
      <c r="H56" s="79">
        <f t="shared" si="13"/>
        <v>65.894823529411767</v>
      </c>
      <c r="I56" s="84">
        <v>1115</v>
      </c>
      <c r="J56" s="79">
        <f t="shared" si="14"/>
        <v>104.6358858858859</v>
      </c>
      <c r="K56" s="79">
        <v>1150</v>
      </c>
      <c r="L56" s="79">
        <f t="shared" si="16"/>
        <v>103.13901345291481</v>
      </c>
      <c r="M56" s="79">
        <v>1175</v>
      </c>
      <c r="N56" s="79">
        <f t="shared" si="18"/>
        <v>102.17391304347827</v>
      </c>
      <c r="O56" s="79">
        <v>1200</v>
      </c>
      <c r="P56" s="79">
        <f t="shared" si="19"/>
        <v>102.12765957446808</v>
      </c>
      <c r="Q56" s="79">
        <v>1220</v>
      </c>
      <c r="R56" s="79">
        <f t="shared" si="21"/>
        <v>101.66666666666666</v>
      </c>
      <c r="S56" s="79">
        <v>1300</v>
      </c>
      <c r="T56" s="79">
        <f t="shared" si="22"/>
        <v>106.55737704918033</v>
      </c>
    </row>
    <row r="57" spans="1:21" ht="78" customHeight="1" x14ac:dyDescent="0.25">
      <c r="A57" s="6">
        <v>16</v>
      </c>
      <c r="B57" s="5" t="s">
        <v>155</v>
      </c>
      <c r="C57" s="10" t="s">
        <v>16</v>
      </c>
      <c r="D57" s="23">
        <v>12940500</v>
      </c>
      <c r="E57" s="23">
        <v>14000000</v>
      </c>
      <c r="F57" s="23">
        <f t="shared" si="0"/>
        <v>108.18747343611143</v>
      </c>
      <c r="G57" s="84">
        <v>11221000</v>
      </c>
      <c r="H57" s="79">
        <f t="shared" si="13"/>
        <v>80.150000000000006</v>
      </c>
      <c r="I57" s="84">
        <v>12940500</v>
      </c>
      <c r="J57" s="79">
        <f t="shared" si="14"/>
        <v>115.32394617235539</v>
      </c>
      <c r="K57" s="84">
        <v>14000000</v>
      </c>
      <c r="L57" s="79">
        <f t="shared" si="16"/>
        <v>108.18747343611143</v>
      </c>
      <c r="M57" s="84">
        <v>14700000</v>
      </c>
      <c r="N57" s="79">
        <f t="shared" si="18"/>
        <v>105</v>
      </c>
      <c r="O57" s="79">
        <v>15300000</v>
      </c>
      <c r="P57" s="79">
        <f t="shared" si="19"/>
        <v>104.08163265306123</v>
      </c>
      <c r="Q57" s="84">
        <v>15600000</v>
      </c>
      <c r="R57" s="79">
        <f t="shared" si="21"/>
        <v>101.96078431372548</v>
      </c>
      <c r="S57" s="79">
        <v>15900000</v>
      </c>
      <c r="T57" s="79">
        <f t="shared" si="22"/>
        <v>101.92307692307692</v>
      </c>
    </row>
    <row r="58" spans="1:21" ht="71.25" customHeight="1" x14ac:dyDescent="0.25">
      <c r="A58" s="6">
        <v>17</v>
      </c>
      <c r="B58" s="5" t="s">
        <v>19</v>
      </c>
      <c r="C58" s="10" t="s">
        <v>16</v>
      </c>
      <c r="D58" s="23">
        <v>1950000</v>
      </c>
      <c r="E58" s="23">
        <v>2050000</v>
      </c>
      <c r="F58" s="23">
        <f t="shared" si="0"/>
        <v>105.12820512820514</v>
      </c>
      <c r="G58" s="84">
        <v>1834100</v>
      </c>
      <c r="H58" s="79">
        <f t="shared" si="13"/>
        <v>89.46829268292683</v>
      </c>
      <c r="I58" s="84">
        <v>1950000</v>
      </c>
      <c r="J58" s="79">
        <f t="shared" si="14"/>
        <v>106.31917561746906</v>
      </c>
      <c r="K58" s="84">
        <v>2050000</v>
      </c>
      <c r="L58" s="79">
        <f t="shared" si="16"/>
        <v>105.12820512820514</v>
      </c>
      <c r="M58" s="79">
        <v>2080000</v>
      </c>
      <c r="N58" s="79">
        <f t="shared" si="18"/>
        <v>101.46341463414635</v>
      </c>
      <c r="O58" s="79">
        <v>2100000</v>
      </c>
      <c r="P58" s="79">
        <f t="shared" si="19"/>
        <v>100.96153846153845</v>
      </c>
      <c r="Q58" s="79">
        <v>2120000</v>
      </c>
      <c r="R58" s="79">
        <f t="shared" si="21"/>
        <v>100.95238095238095</v>
      </c>
      <c r="S58" s="79">
        <v>2200000</v>
      </c>
      <c r="T58" s="79">
        <f t="shared" si="22"/>
        <v>103.77358490566037</v>
      </c>
    </row>
    <row r="59" spans="1:21" ht="59.25" customHeight="1" x14ac:dyDescent="0.25">
      <c r="A59" s="6">
        <v>18</v>
      </c>
      <c r="B59" s="5" t="s">
        <v>18</v>
      </c>
      <c r="C59" s="10" t="s">
        <v>16</v>
      </c>
      <c r="D59" s="4">
        <v>1671000</v>
      </c>
      <c r="E59" s="4">
        <v>1730000</v>
      </c>
      <c r="F59" s="23">
        <f t="shared" si="0"/>
        <v>103.53081986834232</v>
      </c>
      <c r="G59" s="79">
        <v>1584300</v>
      </c>
      <c r="H59" s="79">
        <f t="shared" si="13"/>
        <v>91.578034682080926</v>
      </c>
      <c r="I59" s="79">
        <v>1671000</v>
      </c>
      <c r="J59" s="79">
        <f t="shared" si="14"/>
        <v>105.47244839992425</v>
      </c>
      <c r="K59" s="79">
        <v>1730000</v>
      </c>
      <c r="L59" s="79">
        <f t="shared" si="16"/>
        <v>103.53081986834232</v>
      </c>
      <c r="M59" s="79">
        <v>1760000</v>
      </c>
      <c r="N59" s="79">
        <f t="shared" si="18"/>
        <v>101.73410404624276</v>
      </c>
      <c r="O59" s="79">
        <v>1800000</v>
      </c>
      <c r="P59" s="79">
        <f t="shared" si="19"/>
        <v>102.27272727272727</v>
      </c>
      <c r="Q59" s="79">
        <v>1890000</v>
      </c>
      <c r="R59" s="79">
        <f t="shared" si="21"/>
        <v>105</v>
      </c>
      <c r="S59" s="79">
        <v>1950000</v>
      </c>
      <c r="T59" s="79">
        <f t="shared" si="22"/>
        <v>103.17460317460319</v>
      </c>
    </row>
    <row r="60" spans="1:21" ht="60.75" customHeight="1" x14ac:dyDescent="0.25">
      <c r="A60" s="6">
        <v>19</v>
      </c>
      <c r="B60" s="5" t="s">
        <v>156</v>
      </c>
      <c r="C60" s="10" t="s">
        <v>16</v>
      </c>
      <c r="D60" s="4">
        <v>1320000</v>
      </c>
      <c r="E60" s="4">
        <v>80000</v>
      </c>
      <c r="F60" s="84">
        <f t="shared" si="0"/>
        <v>6.0606060606060606</v>
      </c>
      <c r="G60" s="79">
        <v>1317100</v>
      </c>
      <c r="H60" s="79">
        <f t="shared" si="13"/>
        <v>1646.375</v>
      </c>
      <c r="I60" s="79">
        <v>1320000</v>
      </c>
      <c r="J60" s="79">
        <f t="shared" si="14"/>
        <v>100.22018070002278</v>
      </c>
      <c r="K60" s="79">
        <v>80000</v>
      </c>
      <c r="L60" s="79">
        <f t="shared" si="16"/>
        <v>6.0606060606060606</v>
      </c>
      <c r="M60" s="79">
        <v>90000</v>
      </c>
      <c r="N60" s="79">
        <f t="shared" si="18"/>
        <v>112.5</v>
      </c>
      <c r="O60" s="79">
        <v>95000</v>
      </c>
      <c r="P60" s="79">
        <f t="shared" si="19"/>
        <v>105.55555555555556</v>
      </c>
      <c r="Q60" s="79">
        <v>95000</v>
      </c>
      <c r="R60" s="79">
        <f t="shared" si="21"/>
        <v>100</v>
      </c>
      <c r="S60" s="79">
        <v>95000</v>
      </c>
      <c r="T60" s="79">
        <f t="shared" si="22"/>
        <v>100</v>
      </c>
    </row>
    <row r="61" spans="1:21" ht="45.75" customHeight="1" x14ac:dyDescent="0.25">
      <c r="A61" s="6">
        <v>20</v>
      </c>
      <c r="B61" s="5" t="s">
        <v>17</v>
      </c>
      <c r="C61" s="10" t="s">
        <v>16</v>
      </c>
      <c r="D61" s="79">
        <v>4500</v>
      </c>
      <c r="E61" s="79">
        <v>4700</v>
      </c>
      <c r="F61" s="84">
        <f t="shared" si="0"/>
        <v>104.44444444444446</v>
      </c>
      <c r="G61" s="79">
        <v>4200</v>
      </c>
      <c r="H61" s="79">
        <f t="shared" si="13"/>
        <v>89.361702127659569</v>
      </c>
      <c r="I61" s="79">
        <v>4500</v>
      </c>
      <c r="J61" s="79">
        <f t="shared" si="14"/>
        <v>107.14285714285714</v>
      </c>
      <c r="K61" s="79">
        <v>4700</v>
      </c>
      <c r="L61" s="79">
        <f t="shared" si="16"/>
        <v>104.44444444444446</v>
      </c>
      <c r="M61" s="79">
        <v>4900</v>
      </c>
      <c r="N61" s="79">
        <f t="shared" si="18"/>
        <v>104.25531914893618</v>
      </c>
      <c r="O61" s="79">
        <v>5000</v>
      </c>
      <c r="P61" s="79">
        <f t="shared" si="19"/>
        <v>102.04081632653062</v>
      </c>
      <c r="Q61" s="79">
        <v>5100</v>
      </c>
      <c r="R61" s="79">
        <f t="shared" si="21"/>
        <v>102</v>
      </c>
      <c r="S61" s="79">
        <v>5200</v>
      </c>
      <c r="T61" s="79">
        <f t="shared" si="22"/>
        <v>101.96078431372548</v>
      </c>
    </row>
    <row r="62" spans="1:21" ht="36.75" customHeight="1" x14ac:dyDescent="0.25">
      <c r="A62" s="11" t="s">
        <v>15</v>
      </c>
      <c r="B62" s="7" t="s">
        <v>14</v>
      </c>
      <c r="C62" s="10"/>
      <c r="D62" s="24"/>
      <c r="E62" s="24"/>
      <c r="F62" s="23"/>
      <c r="G62" s="72"/>
      <c r="H62" s="73"/>
      <c r="I62" s="72"/>
      <c r="J62" s="73"/>
      <c r="K62" s="72"/>
      <c r="L62" s="73"/>
      <c r="M62" s="72"/>
      <c r="N62" s="73"/>
      <c r="O62" s="72"/>
      <c r="P62" s="73"/>
      <c r="Q62" s="72"/>
      <c r="R62" s="73"/>
      <c r="S62" s="72"/>
      <c r="T62" s="73"/>
    </row>
    <row r="63" spans="1:21" ht="72" customHeight="1" x14ac:dyDescent="0.25">
      <c r="A63" s="9">
        <v>21</v>
      </c>
      <c r="B63" s="5" t="s">
        <v>13</v>
      </c>
      <c r="C63" s="10" t="s">
        <v>0</v>
      </c>
      <c r="D63" s="24">
        <v>70</v>
      </c>
      <c r="E63" s="78">
        <v>80</v>
      </c>
      <c r="F63" s="84">
        <f t="shared" si="0"/>
        <v>114.28571428571428</v>
      </c>
      <c r="G63" s="78">
        <v>50</v>
      </c>
      <c r="H63" s="79">
        <f t="shared" si="13"/>
        <v>62.5</v>
      </c>
      <c r="I63" s="78">
        <v>70</v>
      </c>
      <c r="J63" s="79">
        <f t="shared" si="14"/>
        <v>140</v>
      </c>
      <c r="K63" s="78">
        <v>70</v>
      </c>
      <c r="L63" s="79">
        <f t="shared" si="16"/>
        <v>100</v>
      </c>
      <c r="M63" s="78">
        <v>75</v>
      </c>
      <c r="N63" s="79">
        <f t="shared" si="18"/>
        <v>107.14285714285714</v>
      </c>
      <c r="O63" s="78">
        <v>80</v>
      </c>
      <c r="P63" s="79">
        <f t="shared" si="19"/>
        <v>106.66666666666667</v>
      </c>
      <c r="Q63" s="78">
        <v>85</v>
      </c>
      <c r="R63" s="79">
        <f t="shared" si="21"/>
        <v>106.25</v>
      </c>
      <c r="S63" s="78">
        <v>90</v>
      </c>
      <c r="T63" s="79">
        <f t="shared" si="22"/>
        <v>105.88235294117648</v>
      </c>
      <c r="U63" s="85"/>
    </row>
    <row r="64" spans="1:21" ht="75" customHeight="1" x14ac:dyDescent="0.25">
      <c r="A64" s="9">
        <v>22</v>
      </c>
      <c r="B64" s="5" t="s">
        <v>12</v>
      </c>
      <c r="C64" s="10" t="s">
        <v>10</v>
      </c>
      <c r="D64" s="24">
        <v>4.8000000000000001E-2</v>
      </c>
      <c r="E64" s="78">
        <v>4.7E-2</v>
      </c>
      <c r="F64" s="84">
        <f t="shared" si="0"/>
        <v>97.916666666666657</v>
      </c>
      <c r="G64" s="78">
        <v>2.4E-2</v>
      </c>
      <c r="H64" s="79">
        <f t="shared" si="13"/>
        <v>51.063829787234042</v>
      </c>
      <c r="I64" s="78">
        <v>3.3000000000000002E-2</v>
      </c>
      <c r="J64" s="79">
        <f t="shared" si="14"/>
        <v>137.5</v>
      </c>
      <c r="K64" s="78">
        <v>3.3000000000000002E-2</v>
      </c>
      <c r="L64" s="79">
        <f t="shared" si="16"/>
        <v>100</v>
      </c>
      <c r="M64" s="78">
        <v>3.3000000000000002E-2</v>
      </c>
      <c r="N64" s="79">
        <f t="shared" si="18"/>
        <v>100</v>
      </c>
      <c r="O64" s="78">
        <v>3.4000000000000002E-2</v>
      </c>
      <c r="P64" s="79">
        <f t="shared" si="19"/>
        <v>103.03030303030303</v>
      </c>
      <c r="Q64" s="78">
        <v>3.4000000000000002E-2</v>
      </c>
      <c r="R64" s="79">
        <f t="shared" si="21"/>
        <v>100</v>
      </c>
      <c r="S64" s="78">
        <v>3.4000000000000002E-2</v>
      </c>
      <c r="T64" s="79">
        <f t="shared" si="22"/>
        <v>100</v>
      </c>
      <c r="U64" s="85"/>
    </row>
    <row r="65" spans="1:21" ht="61.5" customHeight="1" x14ac:dyDescent="0.25">
      <c r="A65" s="9">
        <v>23</v>
      </c>
      <c r="B65" s="5" t="s">
        <v>11</v>
      </c>
      <c r="C65" s="10" t="s">
        <v>10</v>
      </c>
      <c r="D65" s="24">
        <v>67</v>
      </c>
      <c r="E65" s="78">
        <v>70</v>
      </c>
      <c r="F65" s="84">
        <f t="shared" si="0"/>
        <v>104.4776119402985</v>
      </c>
      <c r="G65" s="78">
        <v>85</v>
      </c>
      <c r="H65" s="79">
        <f t="shared" si="13"/>
        <v>121.42857142857142</v>
      </c>
      <c r="I65" s="78">
        <v>85</v>
      </c>
      <c r="J65" s="79">
        <f t="shared" si="14"/>
        <v>100</v>
      </c>
      <c r="K65" s="78">
        <v>90</v>
      </c>
      <c r="L65" s="79">
        <f t="shared" si="16"/>
        <v>105.88235294117648</v>
      </c>
      <c r="M65" s="78">
        <v>90</v>
      </c>
      <c r="N65" s="79">
        <f t="shared" si="18"/>
        <v>100</v>
      </c>
      <c r="O65" s="78">
        <v>90</v>
      </c>
      <c r="P65" s="79">
        <f t="shared" si="19"/>
        <v>100</v>
      </c>
      <c r="Q65" s="78">
        <v>95</v>
      </c>
      <c r="R65" s="79">
        <f t="shared" si="21"/>
        <v>105.55555555555556</v>
      </c>
      <c r="S65" s="78">
        <v>95</v>
      </c>
      <c r="T65" s="79">
        <f t="shared" si="22"/>
        <v>100</v>
      </c>
    </row>
    <row r="66" spans="1:21" ht="124.5" customHeight="1" x14ac:dyDescent="0.25">
      <c r="A66" s="9">
        <v>24</v>
      </c>
      <c r="B66" s="5" t="s">
        <v>9</v>
      </c>
      <c r="C66" s="79" t="s">
        <v>0</v>
      </c>
      <c r="D66" s="78">
        <v>55</v>
      </c>
      <c r="E66" s="78">
        <v>60</v>
      </c>
      <c r="F66" s="84">
        <f t="shared" si="0"/>
        <v>109.09090909090908</v>
      </c>
      <c r="G66" s="78">
        <v>50</v>
      </c>
      <c r="H66" s="79">
        <f t="shared" si="13"/>
        <v>83.333333333333343</v>
      </c>
      <c r="I66" s="78">
        <v>55</v>
      </c>
      <c r="J66" s="79">
        <f t="shared" si="14"/>
        <v>110.00000000000001</v>
      </c>
      <c r="K66" s="78">
        <v>60</v>
      </c>
      <c r="L66" s="79">
        <f t="shared" si="16"/>
        <v>109.09090909090908</v>
      </c>
      <c r="M66" s="78">
        <v>60</v>
      </c>
      <c r="N66" s="79">
        <f t="shared" si="18"/>
        <v>100</v>
      </c>
      <c r="O66" s="78">
        <v>60</v>
      </c>
      <c r="P66" s="79">
        <f t="shared" si="19"/>
        <v>100</v>
      </c>
      <c r="Q66" s="78">
        <v>60</v>
      </c>
      <c r="R66" s="79">
        <f t="shared" si="21"/>
        <v>100</v>
      </c>
      <c r="S66" s="78">
        <v>60</v>
      </c>
      <c r="T66" s="79">
        <f t="shared" si="22"/>
        <v>100</v>
      </c>
    </row>
    <row r="67" spans="1:21" ht="73.5" customHeight="1" x14ac:dyDescent="0.25">
      <c r="A67" s="120">
        <v>25</v>
      </c>
      <c r="B67" s="5" t="s">
        <v>8</v>
      </c>
      <c r="C67" s="79" t="s">
        <v>0</v>
      </c>
      <c r="D67" s="78">
        <v>100</v>
      </c>
      <c r="E67" s="78">
        <v>100</v>
      </c>
      <c r="F67" s="84">
        <f t="shared" si="0"/>
        <v>100</v>
      </c>
      <c r="G67" s="78">
        <v>100</v>
      </c>
      <c r="H67" s="79">
        <f t="shared" si="13"/>
        <v>100</v>
      </c>
      <c r="I67" s="78">
        <v>100</v>
      </c>
      <c r="J67" s="79">
        <f t="shared" si="14"/>
        <v>100</v>
      </c>
      <c r="K67" s="78">
        <v>100</v>
      </c>
      <c r="L67" s="79">
        <f t="shared" si="16"/>
        <v>100</v>
      </c>
      <c r="M67" s="78">
        <v>100</v>
      </c>
      <c r="N67" s="79">
        <f t="shared" si="18"/>
        <v>100</v>
      </c>
      <c r="O67" s="78">
        <v>100</v>
      </c>
      <c r="P67" s="79">
        <f t="shared" si="19"/>
        <v>100</v>
      </c>
      <c r="Q67" s="78">
        <v>100</v>
      </c>
      <c r="R67" s="79">
        <f t="shared" si="21"/>
        <v>100</v>
      </c>
      <c r="S67" s="78">
        <v>100</v>
      </c>
      <c r="T67" s="79">
        <f t="shared" si="22"/>
        <v>100</v>
      </c>
    </row>
    <row r="68" spans="1:21" ht="19.5" customHeight="1" x14ac:dyDescent="0.25">
      <c r="A68" s="121"/>
      <c r="B68" s="5" t="s">
        <v>66</v>
      </c>
      <c r="C68" s="4" t="s">
        <v>0</v>
      </c>
      <c r="D68" s="4">
        <v>60</v>
      </c>
      <c r="E68" s="79">
        <v>60</v>
      </c>
      <c r="F68" s="84">
        <f t="shared" si="0"/>
        <v>100</v>
      </c>
      <c r="G68" s="79">
        <v>60</v>
      </c>
      <c r="H68" s="79">
        <f t="shared" si="13"/>
        <v>100</v>
      </c>
      <c r="I68" s="79">
        <v>60</v>
      </c>
      <c r="J68" s="79">
        <f t="shared" si="14"/>
        <v>100</v>
      </c>
      <c r="K68" s="79">
        <v>60</v>
      </c>
      <c r="L68" s="79">
        <f t="shared" si="16"/>
        <v>100</v>
      </c>
      <c r="M68" s="78">
        <v>60</v>
      </c>
      <c r="N68" s="79">
        <f t="shared" si="18"/>
        <v>100</v>
      </c>
      <c r="O68" s="78">
        <v>60</v>
      </c>
      <c r="P68" s="79">
        <f t="shared" si="19"/>
        <v>100</v>
      </c>
      <c r="Q68" s="78">
        <v>60</v>
      </c>
      <c r="R68" s="79">
        <f t="shared" si="21"/>
        <v>100</v>
      </c>
      <c r="S68" s="78">
        <v>60</v>
      </c>
      <c r="T68" s="79">
        <f t="shared" si="22"/>
        <v>100</v>
      </c>
    </row>
    <row r="69" spans="1:21" ht="18.75" customHeight="1" x14ac:dyDescent="0.25">
      <c r="A69" s="122"/>
      <c r="B69" s="5" t="s">
        <v>67</v>
      </c>
      <c r="C69" s="4" t="s">
        <v>0</v>
      </c>
      <c r="D69" s="4">
        <v>40</v>
      </c>
      <c r="E69" s="79">
        <v>40</v>
      </c>
      <c r="F69" s="84">
        <f t="shared" si="0"/>
        <v>100</v>
      </c>
      <c r="G69" s="79">
        <v>40</v>
      </c>
      <c r="H69" s="79">
        <f t="shared" si="13"/>
        <v>100</v>
      </c>
      <c r="I69" s="79">
        <v>40</v>
      </c>
      <c r="J69" s="79">
        <f t="shared" si="14"/>
        <v>100</v>
      </c>
      <c r="K69" s="79">
        <v>40</v>
      </c>
      <c r="L69" s="79">
        <f t="shared" si="16"/>
        <v>100</v>
      </c>
      <c r="M69" s="78">
        <v>40</v>
      </c>
      <c r="N69" s="79">
        <f t="shared" si="18"/>
        <v>100</v>
      </c>
      <c r="O69" s="78">
        <v>40</v>
      </c>
      <c r="P69" s="79">
        <f t="shared" si="19"/>
        <v>100</v>
      </c>
      <c r="Q69" s="78">
        <v>40</v>
      </c>
      <c r="R69" s="79">
        <f t="shared" si="21"/>
        <v>100</v>
      </c>
      <c r="S69" s="78">
        <v>40</v>
      </c>
      <c r="T69" s="79">
        <f t="shared" si="22"/>
        <v>100</v>
      </c>
    </row>
    <row r="70" spans="1:21" ht="61.5" customHeight="1" x14ac:dyDescent="0.25">
      <c r="A70" s="120">
        <v>26</v>
      </c>
      <c r="B70" s="5" t="s">
        <v>7</v>
      </c>
      <c r="C70" s="4" t="s">
        <v>0</v>
      </c>
      <c r="D70" s="24">
        <v>83</v>
      </c>
      <c r="E70" s="78">
        <v>86</v>
      </c>
      <c r="F70" s="84">
        <f t="shared" si="0"/>
        <v>103.6144578313253</v>
      </c>
      <c r="G70" s="78">
        <v>78</v>
      </c>
      <c r="H70" s="79">
        <f t="shared" si="13"/>
        <v>90.697674418604649</v>
      </c>
      <c r="I70" s="78">
        <v>83</v>
      </c>
      <c r="J70" s="79">
        <f t="shared" si="14"/>
        <v>106.41025641025641</v>
      </c>
      <c r="K70" s="78">
        <v>86</v>
      </c>
      <c r="L70" s="79">
        <f t="shared" si="16"/>
        <v>103.6144578313253</v>
      </c>
      <c r="M70" s="78">
        <v>87</v>
      </c>
      <c r="N70" s="79">
        <f t="shared" si="18"/>
        <v>101.16279069767442</v>
      </c>
      <c r="O70" s="78">
        <v>88</v>
      </c>
      <c r="P70" s="79">
        <f t="shared" si="19"/>
        <v>101.14942528735634</v>
      </c>
      <c r="Q70" s="78">
        <v>87</v>
      </c>
      <c r="R70" s="79">
        <f t="shared" si="21"/>
        <v>98.86363636363636</v>
      </c>
      <c r="S70" s="78">
        <v>88</v>
      </c>
      <c r="T70" s="79">
        <f t="shared" si="22"/>
        <v>101.14942528735634</v>
      </c>
    </row>
    <row r="71" spans="1:21" ht="20.25" customHeight="1" x14ac:dyDescent="0.25">
      <c r="A71" s="121"/>
      <c r="B71" s="5" t="s">
        <v>66</v>
      </c>
      <c r="C71" s="4" t="s">
        <v>0</v>
      </c>
      <c r="D71" s="4">
        <f>D70-D72</f>
        <v>47</v>
      </c>
      <c r="E71" s="79">
        <f>E70-E72</f>
        <v>49</v>
      </c>
      <c r="F71" s="84">
        <f t="shared" si="0"/>
        <v>104.25531914893618</v>
      </c>
      <c r="G71" s="79">
        <v>43</v>
      </c>
      <c r="H71" s="79">
        <f t="shared" si="13"/>
        <v>87.755102040816325</v>
      </c>
      <c r="I71" s="79">
        <f>I70-I72</f>
        <v>47</v>
      </c>
      <c r="J71" s="79">
        <f t="shared" si="14"/>
        <v>109.30232558139534</v>
      </c>
      <c r="K71" s="79">
        <f>K70-K72</f>
        <v>49</v>
      </c>
      <c r="L71" s="79">
        <f t="shared" si="16"/>
        <v>104.25531914893618</v>
      </c>
      <c r="M71" s="78">
        <v>50</v>
      </c>
      <c r="N71" s="79">
        <f t="shared" si="18"/>
        <v>102.04081632653062</v>
      </c>
      <c r="O71" s="78">
        <v>50</v>
      </c>
      <c r="P71" s="79">
        <f t="shared" si="19"/>
        <v>100</v>
      </c>
      <c r="Q71" s="78">
        <v>50</v>
      </c>
      <c r="R71" s="79">
        <f t="shared" si="21"/>
        <v>100</v>
      </c>
      <c r="S71" s="78">
        <v>50</v>
      </c>
      <c r="T71" s="79">
        <f t="shared" si="22"/>
        <v>100</v>
      </c>
    </row>
    <row r="72" spans="1:21" ht="15" customHeight="1" x14ac:dyDescent="0.25">
      <c r="A72" s="122"/>
      <c r="B72" s="5" t="s">
        <v>67</v>
      </c>
      <c r="C72" s="4" t="s">
        <v>0</v>
      </c>
      <c r="D72" s="4">
        <v>36</v>
      </c>
      <c r="E72" s="79">
        <v>37</v>
      </c>
      <c r="F72" s="84">
        <f t="shared" si="0"/>
        <v>102.77777777777777</v>
      </c>
      <c r="G72" s="79">
        <v>35</v>
      </c>
      <c r="H72" s="79">
        <f t="shared" si="13"/>
        <v>94.594594594594597</v>
      </c>
      <c r="I72" s="79">
        <v>36</v>
      </c>
      <c r="J72" s="79">
        <f t="shared" si="14"/>
        <v>102.85714285714285</v>
      </c>
      <c r="K72" s="79">
        <v>37</v>
      </c>
      <c r="L72" s="79">
        <f t="shared" si="16"/>
        <v>102.77777777777777</v>
      </c>
      <c r="M72" s="78">
        <v>37</v>
      </c>
      <c r="N72" s="79">
        <f t="shared" si="18"/>
        <v>100</v>
      </c>
      <c r="O72" s="78">
        <v>38</v>
      </c>
      <c r="P72" s="79">
        <f t="shared" si="19"/>
        <v>102.70270270270269</v>
      </c>
      <c r="Q72" s="78">
        <v>37</v>
      </c>
      <c r="R72" s="79">
        <f t="shared" si="21"/>
        <v>97.368421052631575</v>
      </c>
      <c r="S72" s="78">
        <v>38</v>
      </c>
      <c r="T72" s="79">
        <f t="shared" si="22"/>
        <v>102.70270270270269</v>
      </c>
    </row>
    <row r="73" spans="1:21" ht="33" customHeight="1" x14ac:dyDescent="0.25">
      <c r="A73" s="8" t="s">
        <v>6</v>
      </c>
      <c r="B73" s="7" t="s">
        <v>5</v>
      </c>
      <c r="C73" s="4"/>
      <c r="D73" s="24"/>
      <c r="E73" s="24"/>
      <c r="F73" s="23"/>
      <c r="G73" s="72"/>
      <c r="H73" s="73"/>
      <c r="I73" s="72"/>
      <c r="J73" s="73"/>
      <c r="K73" s="72"/>
      <c r="L73" s="73"/>
      <c r="M73" s="72"/>
      <c r="N73" s="73"/>
      <c r="O73" s="72"/>
      <c r="P73" s="73"/>
      <c r="Q73" s="72"/>
      <c r="R73" s="73"/>
      <c r="S73" s="72"/>
      <c r="T73" s="73"/>
    </row>
    <row r="74" spans="1:21" ht="91.5" customHeight="1" x14ac:dyDescent="0.25">
      <c r="A74" s="6">
        <v>27</v>
      </c>
      <c r="B74" s="5" t="s">
        <v>4</v>
      </c>
      <c r="C74" s="79" t="s">
        <v>0</v>
      </c>
      <c r="D74" s="78">
        <v>0</v>
      </c>
      <c r="E74" s="78">
        <v>0</v>
      </c>
      <c r="F74" s="84">
        <v>0</v>
      </c>
      <c r="G74" s="78">
        <v>0</v>
      </c>
      <c r="H74" s="79">
        <v>0</v>
      </c>
      <c r="I74" s="78">
        <v>0</v>
      </c>
      <c r="J74" s="79">
        <v>0</v>
      </c>
      <c r="K74" s="78">
        <v>0</v>
      </c>
      <c r="L74" s="79">
        <v>0</v>
      </c>
      <c r="M74" s="78">
        <v>0</v>
      </c>
      <c r="N74" s="79">
        <v>0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</row>
    <row r="75" spans="1:21" ht="79.5" customHeight="1" x14ac:dyDescent="0.25">
      <c r="A75" s="6">
        <v>28</v>
      </c>
      <c r="B75" s="5" t="s">
        <v>3</v>
      </c>
      <c r="C75" s="79" t="s">
        <v>0</v>
      </c>
      <c r="D75" s="78">
        <v>0</v>
      </c>
      <c r="E75" s="78">
        <v>0</v>
      </c>
      <c r="F75" s="84">
        <v>0</v>
      </c>
      <c r="G75" s="78">
        <v>0</v>
      </c>
      <c r="H75" s="79">
        <v>0</v>
      </c>
      <c r="I75" s="78">
        <v>0</v>
      </c>
      <c r="J75" s="79">
        <v>0</v>
      </c>
      <c r="K75" s="78">
        <v>0</v>
      </c>
      <c r="L75" s="79">
        <v>0</v>
      </c>
      <c r="M75" s="78">
        <v>0</v>
      </c>
      <c r="N75" s="79">
        <v>0</v>
      </c>
      <c r="O75" s="78">
        <v>0</v>
      </c>
      <c r="P75" s="79">
        <v>0</v>
      </c>
      <c r="Q75" s="78">
        <v>0</v>
      </c>
      <c r="R75" s="79">
        <v>0</v>
      </c>
      <c r="S75" s="78">
        <v>0</v>
      </c>
      <c r="T75" s="79">
        <v>0</v>
      </c>
    </row>
    <row r="76" spans="1:21" ht="148.5" customHeight="1" x14ac:dyDescent="0.25">
      <c r="A76" s="6">
        <v>29</v>
      </c>
      <c r="B76" s="5" t="s">
        <v>2</v>
      </c>
      <c r="C76" s="79" t="s">
        <v>0</v>
      </c>
      <c r="D76" s="78">
        <v>0</v>
      </c>
      <c r="E76" s="78">
        <v>0</v>
      </c>
      <c r="F76" s="84">
        <v>0</v>
      </c>
      <c r="G76" s="78">
        <v>0</v>
      </c>
      <c r="H76" s="79">
        <v>0</v>
      </c>
      <c r="I76" s="78">
        <v>0</v>
      </c>
      <c r="J76" s="79">
        <v>0</v>
      </c>
      <c r="K76" s="78">
        <v>0</v>
      </c>
      <c r="L76" s="79">
        <v>0</v>
      </c>
      <c r="M76" s="78">
        <v>0</v>
      </c>
      <c r="N76" s="79">
        <v>0</v>
      </c>
      <c r="O76" s="78">
        <v>0</v>
      </c>
      <c r="P76" s="79">
        <v>0</v>
      </c>
      <c r="Q76" s="78">
        <v>0</v>
      </c>
      <c r="R76" s="79">
        <v>0</v>
      </c>
      <c r="S76" s="78">
        <v>0</v>
      </c>
      <c r="T76" s="79">
        <v>0</v>
      </c>
    </row>
    <row r="77" spans="1:21" ht="94.5" customHeight="1" x14ac:dyDescent="0.25">
      <c r="A77" s="6">
        <v>30</v>
      </c>
      <c r="B77" s="5" t="s">
        <v>1</v>
      </c>
      <c r="C77" s="79" t="s">
        <v>0</v>
      </c>
      <c r="D77" s="78">
        <v>0</v>
      </c>
      <c r="E77" s="78">
        <v>0</v>
      </c>
      <c r="F77" s="84">
        <v>0</v>
      </c>
      <c r="G77" s="78">
        <v>0</v>
      </c>
      <c r="H77" s="79">
        <v>0</v>
      </c>
      <c r="I77" s="78">
        <v>0</v>
      </c>
      <c r="J77" s="79">
        <v>0</v>
      </c>
      <c r="K77" s="78">
        <v>0</v>
      </c>
      <c r="L77" s="79">
        <v>0</v>
      </c>
      <c r="M77" s="78">
        <v>0</v>
      </c>
      <c r="N77" s="79">
        <v>0</v>
      </c>
      <c r="O77" s="78">
        <v>0</v>
      </c>
      <c r="P77" s="79">
        <v>0</v>
      </c>
      <c r="Q77" s="78">
        <v>0</v>
      </c>
      <c r="R77" s="79">
        <v>0</v>
      </c>
      <c r="S77" s="78">
        <v>0</v>
      </c>
      <c r="T77" s="79">
        <v>0</v>
      </c>
    </row>
    <row r="78" spans="1:21" ht="15.75" x14ac:dyDescent="0.25">
      <c r="B78" s="2"/>
      <c r="C78" s="2"/>
      <c r="D78" s="2"/>
      <c r="E78" s="2"/>
      <c r="F78" s="2"/>
      <c r="G78" s="74"/>
      <c r="H78" s="2"/>
      <c r="I78" s="74"/>
      <c r="J78" s="2"/>
      <c r="K78" s="2"/>
      <c r="L78" s="2"/>
      <c r="M78" s="2"/>
      <c r="N78" s="2"/>
      <c r="O78" s="2"/>
      <c r="P78" s="1"/>
      <c r="Q78" s="2"/>
      <c r="R78" s="2"/>
      <c r="S78" s="2"/>
      <c r="T78" s="1"/>
    </row>
    <row r="79" spans="1:21" ht="18.75" hidden="1" x14ac:dyDescent="0.3">
      <c r="B79" s="22"/>
      <c r="C79" s="1"/>
      <c r="D79" s="1"/>
      <c r="E79" s="1"/>
      <c r="F79" s="1"/>
      <c r="G79" s="75"/>
      <c r="H79" s="1"/>
      <c r="I79" s="7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8.75" hidden="1" x14ac:dyDescent="0.3">
      <c r="B80" s="3"/>
      <c r="C80" s="2"/>
      <c r="D80" s="2"/>
      <c r="E80" s="2"/>
      <c r="F80" s="2"/>
      <c r="G80" s="74"/>
      <c r="H80" s="2"/>
      <c r="I80" s="74"/>
      <c r="J80" s="2"/>
      <c r="K80" s="2"/>
      <c r="L80" s="2"/>
      <c r="M80" s="2"/>
      <c r="N80" s="2"/>
      <c r="O80" s="2"/>
      <c r="P80" s="1"/>
      <c r="Q80" s="2"/>
      <c r="R80" s="2"/>
      <c r="S80" s="2"/>
      <c r="T80" s="1"/>
    </row>
    <row r="81" spans="1:20" ht="20.25" customHeight="1" x14ac:dyDescent="0.25">
      <c r="A81" s="123" t="s">
        <v>68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</row>
  </sheetData>
  <mergeCells count="12">
    <mergeCell ref="Q1:T2"/>
    <mergeCell ref="A70:A72"/>
    <mergeCell ref="A81:T81"/>
    <mergeCell ref="B3:T3"/>
    <mergeCell ref="B4:T4"/>
    <mergeCell ref="A9:A26"/>
    <mergeCell ref="A27:A30"/>
    <mergeCell ref="A31:A34"/>
    <mergeCell ref="A35:A37"/>
    <mergeCell ref="A46:A50"/>
    <mergeCell ref="A42:A43"/>
    <mergeCell ref="A67:A69"/>
  </mergeCells>
  <pageMargins left="0.70866141732283472" right="0.70866141732283472" top="0.74803149606299213" bottom="0.51181102362204722" header="0.31496062992125984" footer="0.31496062992125984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opLeftCell="A44" zoomScale="71" zoomScaleNormal="71" workbookViewId="0">
      <selection activeCell="H15" sqref="H15"/>
    </sheetView>
  </sheetViews>
  <sheetFormatPr defaultRowHeight="15" x14ac:dyDescent="0.25"/>
  <cols>
    <col min="1" max="1" width="26.7109375" customWidth="1"/>
    <col min="2" max="2" width="10.5703125" customWidth="1"/>
    <col min="3" max="3" width="12.140625" customWidth="1"/>
    <col min="5" max="5" width="11.7109375" customWidth="1"/>
    <col min="7" max="7" width="11.7109375" customWidth="1"/>
    <col min="9" max="9" width="11.5703125" customWidth="1"/>
    <col min="11" max="11" width="12.5703125" customWidth="1"/>
    <col min="13" max="13" width="11.28515625" customWidth="1"/>
    <col min="15" max="15" width="11.140625" customWidth="1"/>
    <col min="17" max="17" width="11.5703125" customWidth="1"/>
    <col min="19" max="19" width="11" customWidth="1"/>
  </cols>
  <sheetData>
    <row r="1" spans="1:20" ht="30" customHeight="1" x14ac:dyDescent="0.25">
      <c r="H1" s="126" t="s">
        <v>139</v>
      </c>
      <c r="I1" s="126"/>
      <c r="J1" s="126"/>
      <c r="K1" s="126"/>
      <c r="L1" s="126"/>
    </row>
    <row r="2" spans="1:20" ht="15" customHeight="1" x14ac:dyDescent="0.25">
      <c r="H2" s="126"/>
      <c r="I2" s="126"/>
      <c r="J2" s="126"/>
      <c r="K2" s="126"/>
      <c r="L2" s="126"/>
    </row>
    <row r="3" spans="1:20" ht="15" customHeight="1" x14ac:dyDescent="0.25">
      <c r="H3" s="126"/>
      <c r="I3" s="126"/>
      <c r="J3" s="126"/>
      <c r="K3" s="126"/>
      <c r="L3" s="126"/>
    </row>
    <row r="4" spans="1:20" ht="18.75" x14ac:dyDescent="0.3">
      <c r="A4" s="3"/>
      <c r="B4" s="3"/>
      <c r="C4" s="3"/>
      <c r="D4" s="3"/>
      <c r="E4" s="3"/>
      <c r="F4" s="3"/>
      <c r="G4" s="3"/>
      <c r="H4" s="126"/>
      <c r="I4" s="126"/>
      <c r="J4" s="126"/>
      <c r="K4" s="126"/>
      <c r="L4" s="126"/>
    </row>
    <row r="5" spans="1:20" ht="18.7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98"/>
      <c r="L5" s="98"/>
    </row>
    <row r="6" spans="1:20" x14ac:dyDescent="0.25">
      <c r="A6" s="124" t="s">
        <v>157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20" x14ac:dyDescent="0.25">
      <c r="A7" s="124" t="s">
        <v>158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20" ht="18.75" customHeight="1" x14ac:dyDescent="0.25">
      <c r="A8" s="124" t="s">
        <v>205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20" ht="15.75" x14ac:dyDescent="0.2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0" ht="47.25" x14ac:dyDescent="0.25">
      <c r="A10" s="102" t="s">
        <v>159</v>
      </c>
      <c r="B10" s="102" t="s">
        <v>160</v>
      </c>
      <c r="C10" s="102" t="s">
        <v>161</v>
      </c>
      <c r="D10" s="99" t="s">
        <v>162</v>
      </c>
      <c r="E10" s="99" t="s">
        <v>163</v>
      </c>
      <c r="F10" s="99" t="s">
        <v>164</v>
      </c>
      <c r="G10" s="99" t="s">
        <v>48</v>
      </c>
      <c r="H10" s="99" t="s">
        <v>165</v>
      </c>
      <c r="I10" s="99" t="s">
        <v>46</v>
      </c>
      <c r="J10" s="99" t="s">
        <v>166</v>
      </c>
      <c r="K10" s="99" t="s">
        <v>143</v>
      </c>
      <c r="L10" s="99" t="s">
        <v>167</v>
      </c>
      <c r="M10" s="99" t="s">
        <v>145</v>
      </c>
      <c r="N10" s="99" t="s">
        <v>206</v>
      </c>
      <c r="O10" s="99" t="s">
        <v>147</v>
      </c>
      <c r="P10" s="99" t="s">
        <v>209</v>
      </c>
      <c r="Q10" s="99" t="s">
        <v>149</v>
      </c>
      <c r="R10" s="99" t="s">
        <v>208</v>
      </c>
      <c r="S10" s="99" t="s">
        <v>151</v>
      </c>
      <c r="T10" s="99" t="s">
        <v>207</v>
      </c>
    </row>
    <row r="11" spans="1:20" ht="15.75" x14ac:dyDescent="0.25">
      <c r="A11" s="104">
        <v>1</v>
      </c>
      <c r="B11" s="104">
        <v>2</v>
      </c>
      <c r="C11" s="104">
        <v>3</v>
      </c>
      <c r="D11" s="100">
        <v>4</v>
      </c>
      <c r="E11" s="100">
        <v>5</v>
      </c>
      <c r="F11" s="100">
        <v>6</v>
      </c>
      <c r="G11" s="100">
        <v>7</v>
      </c>
      <c r="H11" s="100">
        <v>8</v>
      </c>
      <c r="I11" s="100">
        <v>9</v>
      </c>
      <c r="J11" s="100">
        <v>10</v>
      </c>
      <c r="K11" s="100">
        <v>11</v>
      </c>
      <c r="L11" s="100">
        <v>12</v>
      </c>
      <c r="M11" s="100">
        <v>13</v>
      </c>
      <c r="N11" s="100">
        <v>14</v>
      </c>
      <c r="O11" s="100">
        <v>11</v>
      </c>
      <c r="P11" s="100">
        <v>12</v>
      </c>
      <c r="Q11" s="100">
        <v>13</v>
      </c>
      <c r="R11" s="100">
        <v>14</v>
      </c>
      <c r="S11" s="100">
        <v>13</v>
      </c>
      <c r="T11" s="100">
        <v>14</v>
      </c>
    </row>
    <row r="12" spans="1:20" ht="63" x14ac:dyDescent="0.25">
      <c r="A12" s="105" t="s">
        <v>168</v>
      </c>
      <c r="B12" s="101" t="s">
        <v>10</v>
      </c>
      <c r="C12" s="106">
        <v>4150</v>
      </c>
      <c r="D12" s="4">
        <v>101.1</v>
      </c>
      <c r="E12" s="24">
        <v>4205</v>
      </c>
      <c r="F12" s="4">
        <f>E12/C12*100</f>
        <v>101.32530120481928</v>
      </c>
      <c r="G12" s="24">
        <v>6100</v>
      </c>
      <c r="H12" s="4">
        <f>G12/E12*100</f>
        <v>145.06539833531511</v>
      </c>
      <c r="I12" s="24">
        <v>6200</v>
      </c>
      <c r="J12" s="101">
        <f>I12/G12*100</f>
        <v>101.63934426229508</v>
      </c>
      <c r="K12" s="78">
        <v>6250</v>
      </c>
      <c r="L12" s="79">
        <f>K12/I12*100</f>
        <v>100.80645161290323</v>
      </c>
      <c r="M12" s="78">
        <v>6300</v>
      </c>
      <c r="N12" s="79">
        <f>M12/K12*100</f>
        <v>100.8</v>
      </c>
      <c r="O12" s="78">
        <v>6320</v>
      </c>
      <c r="P12" s="79">
        <f>O12/M12*100</f>
        <v>100.31746031746032</v>
      </c>
      <c r="Q12" s="78">
        <v>6370</v>
      </c>
      <c r="R12" s="79">
        <f>Q12/O12*100</f>
        <v>100.79113924050634</v>
      </c>
      <c r="S12" s="78">
        <v>6400</v>
      </c>
      <c r="T12" s="79">
        <f>S12/Q12*100</f>
        <v>100.47095761381475</v>
      </c>
    </row>
    <row r="13" spans="1:20" ht="15.75" x14ac:dyDescent="0.25">
      <c r="A13" s="105" t="s">
        <v>169</v>
      </c>
      <c r="B13" s="101" t="s">
        <v>10</v>
      </c>
      <c r="C13" s="106">
        <v>125</v>
      </c>
      <c r="D13" s="4">
        <v>104.2</v>
      </c>
      <c r="E13" s="106">
        <v>185</v>
      </c>
      <c r="F13" s="4">
        <f t="shared" ref="F13:F22" si="0">E13/C13*100</f>
        <v>148</v>
      </c>
      <c r="G13" s="106">
        <v>267</v>
      </c>
      <c r="H13" s="4">
        <f t="shared" ref="H13:H22" si="1">G13/E13*100</f>
        <v>144.32432432432432</v>
      </c>
      <c r="I13" s="106">
        <v>269</v>
      </c>
      <c r="J13" s="4">
        <f t="shared" ref="J13:J22" si="2">I13/G13*100</f>
        <v>100.74906367041199</v>
      </c>
      <c r="K13" s="106">
        <v>271</v>
      </c>
      <c r="L13" s="101">
        <f t="shared" ref="L13:L22" si="3">K13/I13*100</f>
        <v>100.74349442379183</v>
      </c>
      <c r="M13" s="24">
        <v>271</v>
      </c>
      <c r="N13" s="4">
        <f>M13/K13*100</f>
        <v>100</v>
      </c>
      <c r="O13" s="24">
        <v>272</v>
      </c>
      <c r="P13" s="4">
        <f t="shared" ref="P13:P22" si="4">O13/M13*100</f>
        <v>100.36900369003689</v>
      </c>
      <c r="Q13" s="24">
        <v>276</v>
      </c>
      <c r="R13" s="4">
        <f t="shared" ref="R13:R22" si="5">Q13/O13*100</f>
        <v>101.47058823529412</v>
      </c>
      <c r="S13" s="24">
        <v>276</v>
      </c>
      <c r="T13" s="4">
        <f t="shared" ref="T13:T22" si="6">S13/Q13*100</f>
        <v>100</v>
      </c>
    </row>
    <row r="14" spans="1:20" ht="15.75" x14ac:dyDescent="0.25">
      <c r="A14" s="105" t="s">
        <v>170</v>
      </c>
      <c r="B14" s="101" t="s">
        <v>10</v>
      </c>
      <c r="C14" s="106">
        <v>330</v>
      </c>
      <c r="D14" s="4">
        <v>102.5</v>
      </c>
      <c r="E14" s="106">
        <v>335</v>
      </c>
      <c r="F14" s="4">
        <f t="shared" si="0"/>
        <v>101.51515151515152</v>
      </c>
      <c r="G14" s="106">
        <v>480</v>
      </c>
      <c r="H14" s="4">
        <f t="shared" si="1"/>
        <v>143.28358208955223</v>
      </c>
      <c r="I14" s="106">
        <v>487</v>
      </c>
      <c r="J14" s="4">
        <f t="shared" si="2"/>
        <v>101.45833333333334</v>
      </c>
      <c r="K14" s="106">
        <v>500</v>
      </c>
      <c r="L14" s="101">
        <f t="shared" si="3"/>
        <v>102.66940451745378</v>
      </c>
      <c r="M14" s="24">
        <v>500</v>
      </c>
      <c r="N14" s="4">
        <f t="shared" ref="N14:N22" si="7">M14/K14*100</f>
        <v>100</v>
      </c>
      <c r="O14" s="24">
        <v>500</v>
      </c>
      <c r="P14" s="4">
        <f t="shared" si="4"/>
        <v>100</v>
      </c>
      <c r="Q14" s="24">
        <v>500</v>
      </c>
      <c r="R14" s="4">
        <f t="shared" si="5"/>
        <v>100</v>
      </c>
      <c r="S14" s="24">
        <v>500</v>
      </c>
      <c r="T14" s="4">
        <f t="shared" si="6"/>
        <v>100</v>
      </c>
    </row>
    <row r="15" spans="1:20" ht="78.75" x14ac:dyDescent="0.25">
      <c r="A15" s="105" t="s">
        <v>171</v>
      </c>
      <c r="B15" s="101" t="s">
        <v>172</v>
      </c>
      <c r="C15" s="101">
        <v>35520</v>
      </c>
      <c r="D15" s="4">
        <v>115.3</v>
      </c>
      <c r="E15" s="101">
        <v>30998</v>
      </c>
      <c r="F15" s="4">
        <f t="shared" si="0"/>
        <v>87.269144144144136</v>
      </c>
      <c r="G15" s="101">
        <v>46550.6</v>
      </c>
      <c r="H15" s="4">
        <f t="shared" si="1"/>
        <v>150.17291438157301</v>
      </c>
      <c r="I15" s="101">
        <v>47850</v>
      </c>
      <c r="J15" s="4">
        <f t="shared" si="2"/>
        <v>102.7913711101468</v>
      </c>
      <c r="K15" s="101">
        <v>48900</v>
      </c>
      <c r="L15" s="101">
        <f t="shared" si="3"/>
        <v>102.19435736677116</v>
      </c>
      <c r="M15" s="4">
        <v>50000</v>
      </c>
      <c r="N15" s="4">
        <f t="shared" si="7"/>
        <v>102.24948875255623</v>
      </c>
      <c r="O15" s="4">
        <v>51200</v>
      </c>
      <c r="P15" s="4">
        <f t="shared" si="4"/>
        <v>102.4</v>
      </c>
      <c r="Q15" s="4">
        <v>52500</v>
      </c>
      <c r="R15" s="4">
        <f t="shared" si="5"/>
        <v>102.5390625</v>
      </c>
      <c r="S15" s="4">
        <v>53400</v>
      </c>
      <c r="T15" s="4">
        <f t="shared" si="6"/>
        <v>101.71428571428571</v>
      </c>
    </row>
    <row r="16" spans="1:20" ht="47.25" x14ac:dyDescent="0.25">
      <c r="A16" s="105" t="s">
        <v>173</v>
      </c>
      <c r="B16" s="101" t="s">
        <v>172</v>
      </c>
      <c r="C16" s="101">
        <v>19082.2</v>
      </c>
      <c r="D16" s="4">
        <v>113.5</v>
      </c>
      <c r="E16" s="101">
        <v>20386.2</v>
      </c>
      <c r="F16" s="4">
        <f t="shared" si="0"/>
        <v>106.83359361079958</v>
      </c>
      <c r="G16" s="101">
        <v>27500</v>
      </c>
      <c r="H16" s="4">
        <f t="shared" si="1"/>
        <v>134.89517418645946</v>
      </c>
      <c r="I16" s="101">
        <v>28500</v>
      </c>
      <c r="J16" s="4">
        <f t="shared" si="2"/>
        <v>103.63636363636364</v>
      </c>
      <c r="K16" s="101">
        <v>29300</v>
      </c>
      <c r="L16" s="101">
        <f t="shared" si="3"/>
        <v>102.80701754385966</v>
      </c>
      <c r="M16" s="4">
        <v>31000</v>
      </c>
      <c r="N16" s="4">
        <f t="shared" si="7"/>
        <v>105.80204778156997</v>
      </c>
      <c r="O16" s="4">
        <v>31400</v>
      </c>
      <c r="P16" s="4">
        <f t="shared" si="4"/>
        <v>101.29032258064517</v>
      </c>
      <c r="Q16" s="4">
        <v>31750</v>
      </c>
      <c r="R16" s="4">
        <f t="shared" si="5"/>
        <v>101.11464968152866</v>
      </c>
      <c r="S16" s="4">
        <v>32000</v>
      </c>
      <c r="T16" s="4">
        <f t="shared" si="6"/>
        <v>100.78740157480314</v>
      </c>
    </row>
    <row r="17" spans="1:20" ht="15.75" x14ac:dyDescent="0.25">
      <c r="A17" s="105" t="s">
        <v>174</v>
      </c>
      <c r="B17" s="101" t="s">
        <v>172</v>
      </c>
      <c r="C17" s="101">
        <v>9565.5</v>
      </c>
      <c r="D17" s="4">
        <v>136</v>
      </c>
      <c r="E17" s="101">
        <v>4430.6350000000002</v>
      </c>
      <c r="F17" s="4">
        <f t="shared" si="0"/>
        <v>46.318906486853798</v>
      </c>
      <c r="G17" s="101">
        <v>6500.2</v>
      </c>
      <c r="H17" s="4">
        <f t="shared" si="1"/>
        <v>146.71034738812833</v>
      </c>
      <c r="I17" s="101">
        <v>6860</v>
      </c>
      <c r="J17" s="4">
        <f t="shared" si="2"/>
        <v>105.53521430109842</v>
      </c>
      <c r="K17" s="101">
        <v>7130</v>
      </c>
      <c r="L17" s="101">
        <f t="shared" si="3"/>
        <v>103.93586005830903</v>
      </c>
      <c r="M17" s="4">
        <v>7250</v>
      </c>
      <c r="N17" s="4">
        <f t="shared" si="7"/>
        <v>101.68302945301544</v>
      </c>
      <c r="O17" s="4">
        <v>7490</v>
      </c>
      <c r="P17" s="4">
        <f t="shared" si="4"/>
        <v>103.31034482758621</v>
      </c>
      <c r="Q17" s="4">
        <v>7560</v>
      </c>
      <c r="R17" s="4">
        <f t="shared" si="5"/>
        <v>100.93457943925233</v>
      </c>
      <c r="S17" s="4">
        <v>7700</v>
      </c>
      <c r="T17" s="4">
        <f t="shared" si="6"/>
        <v>101.85185185185186</v>
      </c>
    </row>
    <row r="18" spans="1:20" ht="15.75" x14ac:dyDescent="0.25">
      <c r="A18" s="105" t="s">
        <v>175</v>
      </c>
      <c r="B18" s="101" t="s">
        <v>172</v>
      </c>
      <c r="C18" s="101">
        <v>0</v>
      </c>
      <c r="D18" s="101">
        <v>0</v>
      </c>
      <c r="E18" s="101">
        <v>0</v>
      </c>
      <c r="F18" s="101">
        <v>0</v>
      </c>
      <c r="G18" s="101">
        <v>1841.5</v>
      </c>
      <c r="H18" s="4">
        <v>0</v>
      </c>
      <c r="I18" s="101">
        <v>1850</v>
      </c>
      <c r="J18" s="4">
        <f t="shared" si="2"/>
        <v>100.46158023350529</v>
      </c>
      <c r="K18" s="101">
        <v>1850</v>
      </c>
      <c r="L18" s="101">
        <f t="shared" si="3"/>
        <v>100</v>
      </c>
      <c r="M18" s="4">
        <v>1910</v>
      </c>
      <c r="N18" s="4">
        <f t="shared" si="7"/>
        <v>103.24324324324323</v>
      </c>
      <c r="O18" s="4">
        <v>1910</v>
      </c>
      <c r="P18" s="4">
        <f t="shared" si="4"/>
        <v>100</v>
      </c>
      <c r="Q18" s="4">
        <v>2000</v>
      </c>
      <c r="R18" s="4">
        <f t="shared" si="5"/>
        <v>104.71204188481676</v>
      </c>
      <c r="S18" s="4">
        <v>2010</v>
      </c>
      <c r="T18" s="4">
        <f t="shared" si="6"/>
        <v>100.49999999999999</v>
      </c>
    </row>
    <row r="19" spans="1:20" ht="15.75" x14ac:dyDescent="0.25">
      <c r="A19" s="105" t="s">
        <v>176</v>
      </c>
      <c r="B19" s="101" t="s">
        <v>172</v>
      </c>
      <c r="C19" s="101">
        <v>343.6</v>
      </c>
      <c r="D19" s="4">
        <v>96.8</v>
      </c>
      <c r="E19" s="101">
        <v>417.4</v>
      </c>
      <c r="F19" s="4">
        <f t="shared" si="0"/>
        <v>121.47846332945285</v>
      </c>
      <c r="G19" s="101">
        <v>0</v>
      </c>
      <c r="H19" s="4">
        <f t="shared" si="1"/>
        <v>0</v>
      </c>
      <c r="I19" s="101">
        <v>0</v>
      </c>
      <c r="J19" s="4">
        <v>0</v>
      </c>
      <c r="K19" s="101">
        <v>0</v>
      </c>
      <c r="L19" s="101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</row>
    <row r="20" spans="1:20" ht="94.5" x14ac:dyDescent="0.25">
      <c r="A20" s="105" t="s">
        <v>177</v>
      </c>
      <c r="B20" s="101" t="s">
        <v>23</v>
      </c>
      <c r="C20" s="101">
        <v>11</v>
      </c>
      <c r="D20" s="4">
        <v>100</v>
      </c>
      <c r="E20" s="101">
        <v>11</v>
      </c>
      <c r="F20" s="4">
        <f t="shared" si="0"/>
        <v>100</v>
      </c>
      <c r="G20" s="101">
        <v>26</v>
      </c>
      <c r="H20" s="4">
        <f t="shared" si="1"/>
        <v>236.36363636363637</v>
      </c>
      <c r="I20" s="101">
        <v>26</v>
      </c>
      <c r="J20" s="4">
        <f t="shared" si="2"/>
        <v>100</v>
      </c>
      <c r="K20" s="101">
        <v>26</v>
      </c>
      <c r="L20" s="101">
        <f t="shared" si="3"/>
        <v>100</v>
      </c>
      <c r="M20" s="4">
        <v>26</v>
      </c>
      <c r="N20" s="4">
        <f t="shared" si="7"/>
        <v>100</v>
      </c>
      <c r="O20" s="4">
        <v>26</v>
      </c>
      <c r="P20" s="4">
        <f t="shared" si="4"/>
        <v>100</v>
      </c>
      <c r="Q20" s="4">
        <v>26</v>
      </c>
      <c r="R20" s="4">
        <f t="shared" si="5"/>
        <v>100</v>
      </c>
      <c r="S20" s="4">
        <v>26</v>
      </c>
      <c r="T20" s="4">
        <f t="shared" si="6"/>
        <v>100</v>
      </c>
    </row>
    <row r="21" spans="1:20" ht="47.25" x14ac:dyDescent="0.25">
      <c r="A21" s="105" t="s">
        <v>178</v>
      </c>
      <c r="B21" s="101" t="s">
        <v>23</v>
      </c>
      <c r="C21" s="101">
        <v>1</v>
      </c>
      <c r="D21" s="4">
        <v>100</v>
      </c>
      <c r="E21" s="101">
        <v>1</v>
      </c>
      <c r="F21" s="4">
        <f t="shared" si="0"/>
        <v>100</v>
      </c>
      <c r="G21" s="101">
        <v>2</v>
      </c>
      <c r="H21" s="4">
        <f t="shared" si="1"/>
        <v>200</v>
      </c>
      <c r="I21" s="101">
        <v>2</v>
      </c>
      <c r="J21" s="4">
        <f t="shared" si="2"/>
        <v>100</v>
      </c>
      <c r="K21" s="101">
        <v>2</v>
      </c>
      <c r="L21" s="101">
        <f t="shared" si="3"/>
        <v>100</v>
      </c>
      <c r="M21" s="4">
        <v>2</v>
      </c>
      <c r="N21" s="4">
        <f t="shared" si="7"/>
        <v>100</v>
      </c>
      <c r="O21" s="4">
        <v>2</v>
      </c>
      <c r="P21" s="4">
        <f t="shared" si="4"/>
        <v>100</v>
      </c>
      <c r="Q21" s="4">
        <v>2</v>
      </c>
      <c r="R21" s="4">
        <f t="shared" si="5"/>
        <v>100</v>
      </c>
      <c r="S21" s="4">
        <v>2</v>
      </c>
      <c r="T21" s="4">
        <f t="shared" si="6"/>
        <v>100</v>
      </c>
    </row>
    <row r="22" spans="1:20" ht="47.25" x14ac:dyDescent="0.25">
      <c r="A22" s="105" t="s">
        <v>179</v>
      </c>
      <c r="B22" s="101" t="s">
        <v>23</v>
      </c>
      <c r="C22" s="101">
        <v>1</v>
      </c>
      <c r="D22" s="4">
        <v>100</v>
      </c>
      <c r="E22" s="101">
        <v>1</v>
      </c>
      <c r="F22" s="4">
        <f t="shared" si="0"/>
        <v>100</v>
      </c>
      <c r="G22" s="101">
        <v>2</v>
      </c>
      <c r="H22" s="4">
        <f t="shared" si="1"/>
        <v>200</v>
      </c>
      <c r="I22" s="101">
        <v>2</v>
      </c>
      <c r="J22" s="4">
        <f t="shared" si="2"/>
        <v>100</v>
      </c>
      <c r="K22" s="101">
        <v>2</v>
      </c>
      <c r="L22" s="101">
        <f t="shared" si="3"/>
        <v>100</v>
      </c>
      <c r="M22" s="4">
        <v>2</v>
      </c>
      <c r="N22" s="4">
        <f t="shared" si="7"/>
        <v>100</v>
      </c>
      <c r="O22" s="4">
        <v>2</v>
      </c>
      <c r="P22" s="4">
        <f t="shared" si="4"/>
        <v>100</v>
      </c>
      <c r="Q22" s="4">
        <v>2</v>
      </c>
      <c r="R22" s="4">
        <f t="shared" si="5"/>
        <v>100</v>
      </c>
      <c r="S22" s="4">
        <v>2</v>
      </c>
      <c r="T22" s="4">
        <f t="shared" si="6"/>
        <v>100</v>
      </c>
    </row>
    <row r="23" spans="1:20" ht="47.25" x14ac:dyDescent="0.25">
      <c r="A23" s="105" t="s">
        <v>180</v>
      </c>
      <c r="B23" s="101" t="s">
        <v>23</v>
      </c>
      <c r="C23" s="101">
        <v>0</v>
      </c>
      <c r="D23" s="4">
        <v>100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ht="31.5" x14ac:dyDescent="0.25">
      <c r="A24" s="105" t="s">
        <v>181</v>
      </c>
      <c r="B24" s="101" t="s">
        <v>23</v>
      </c>
      <c r="C24" s="101">
        <v>2</v>
      </c>
      <c r="D24" s="4">
        <v>100</v>
      </c>
      <c r="E24" s="101">
        <v>2</v>
      </c>
      <c r="F24" s="4">
        <f t="shared" ref="F24:F44" si="8">E24/C24*100</f>
        <v>100</v>
      </c>
      <c r="G24" s="101">
        <v>4</v>
      </c>
      <c r="H24" s="4">
        <f t="shared" ref="H24:H44" si="9">G24/E24*100</f>
        <v>200</v>
      </c>
      <c r="I24" s="101">
        <v>4</v>
      </c>
      <c r="J24" s="4">
        <f t="shared" ref="J24:J44" si="10">I24/G24*100</f>
        <v>100</v>
      </c>
      <c r="K24" s="101">
        <v>4</v>
      </c>
      <c r="L24" s="101">
        <f t="shared" ref="L24:L44" si="11">K24/I24*100</f>
        <v>100</v>
      </c>
      <c r="M24" s="4">
        <v>4</v>
      </c>
      <c r="N24" s="4">
        <f t="shared" ref="N24" si="12">M24/K24*100</f>
        <v>100</v>
      </c>
      <c r="O24" s="4">
        <v>4</v>
      </c>
      <c r="P24" s="4">
        <f t="shared" ref="P24" si="13">O24/M24*100</f>
        <v>100</v>
      </c>
      <c r="Q24" s="4">
        <v>4</v>
      </c>
      <c r="R24" s="4">
        <f t="shared" ref="R24" si="14">Q24/O24*100</f>
        <v>100</v>
      </c>
      <c r="S24" s="4">
        <v>4</v>
      </c>
      <c r="T24" s="4">
        <f t="shared" ref="T24" si="15">S24/Q24*100</f>
        <v>100</v>
      </c>
    </row>
    <row r="25" spans="1:20" ht="31.5" x14ac:dyDescent="0.25">
      <c r="A25" s="105" t="s">
        <v>182</v>
      </c>
      <c r="B25" s="101" t="s">
        <v>23</v>
      </c>
      <c r="C25" s="101">
        <v>0</v>
      </c>
      <c r="D25" s="4">
        <v>100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</row>
    <row r="26" spans="1:20" ht="15.75" x14ac:dyDescent="0.25">
      <c r="A26" s="105" t="s">
        <v>183</v>
      </c>
      <c r="B26" s="101" t="s">
        <v>23</v>
      </c>
      <c r="C26" s="101">
        <v>3</v>
      </c>
      <c r="D26" s="4">
        <v>100</v>
      </c>
      <c r="E26" s="101">
        <v>3</v>
      </c>
      <c r="F26" s="4">
        <f t="shared" si="8"/>
        <v>100</v>
      </c>
      <c r="G26" s="101">
        <v>10</v>
      </c>
      <c r="H26" s="4">
        <f t="shared" si="9"/>
        <v>333.33333333333337</v>
      </c>
      <c r="I26" s="101">
        <v>10</v>
      </c>
      <c r="J26" s="4">
        <f t="shared" si="10"/>
        <v>100</v>
      </c>
      <c r="K26" s="101">
        <v>10</v>
      </c>
      <c r="L26" s="101">
        <f t="shared" si="11"/>
        <v>100</v>
      </c>
      <c r="M26" s="4">
        <v>10</v>
      </c>
      <c r="N26" s="4">
        <f t="shared" ref="N26" si="16">M26/K26*100</f>
        <v>100</v>
      </c>
      <c r="O26" s="4">
        <v>10</v>
      </c>
      <c r="P26" s="4">
        <f t="shared" ref="P26" si="17">O26/M26*100</f>
        <v>100</v>
      </c>
      <c r="Q26" s="4">
        <v>10</v>
      </c>
      <c r="R26" s="4">
        <f t="shared" ref="R26" si="18">Q26/O26*100</f>
        <v>100</v>
      </c>
      <c r="S26" s="4">
        <v>10</v>
      </c>
      <c r="T26" s="4">
        <f t="shared" ref="T26" si="19">S26/Q26*100</f>
        <v>100</v>
      </c>
    </row>
    <row r="27" spans="1:20" ht="31.5" x14ac:dyDescent="0.25">
      <c r="A27" s="105" t="s">
        <v>184</v>
      </c>
      <c r="B27" s="101" t="s">
        <v>23</v>
      </c>
      <c r="C27" s="101">
        <v>0</v>
      </c>
      <c r="D27" s="4">
        <v>100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</row>
    <row r="28" spans="1:20" ht="31.5" x14ac:dyDescent="0.25">
      <c r="A28" s="105" t="s">
        <v>185</v>
      </c>
      <c r="B28" s="101" t="s">
        <v>23</v>
      </c>
      <c r="C28" s="101">
        <v>2</v>
      </c>
      <c r="D28" s="4">
        <v>100</v>
      </c>
      <c r="E28" s="101">
        <v>2</v>
      </c>
      <c r="F28" s="4">
        <f t="shared" si="8"/>
        <v>100</v>
      </c>
      <c r="G28" s="101">
        <v>4</v>
      </c>
      <c r="H28" s="4">
        <f t="shared" si="9"/>
        <v>200</v>
      </c>
      <c r="I28" s="101">
        <v>4</v>
      </c>
      <c r="J28" s="4">
        <f t="shared" si="10"/>
        <v>100</v>
      </c>
      <c r="K28" s="101">
        <v>4</v>
      </c>
      <c r="L28" s="101">
        <f t="shared" si="11"/>
        <v>100</v>
      </c>
      <c r="M28" s="4">
        <v>4</v>
      </c>
      <c r="N28" s="4">
        <f t="shared" ref="N28:N29" si="20">M28/K28*100</f>
        <v>100</v>
      </c>
      <c r="O28" s="4">
        <v>4</v>
      </c>
      <c r="P28" s="4">
        <f t="shared" ref="P28:P29" si="21">O28/M28*100</f>
        <v>100</v>
      </c>
      <c r="Q28" s="4">
        <v>4</v>
      </c>
      <c r="R28" s="4">
        <f t="shared" ref="R28:R29" si="22">Q28/O28*100</f>
        <v>100</v>
      </c>
      <c r="S28" s="4">
        <v>4</v>
      </c>
      <c r="T28" s="4">
        <f t="shared" ref="T28:T29" si="23">S28/Q28*100</f>
        <v>100</v>
      </c>
    </row>
    <row r="29" spans="1:20" ht="15.75" x14ac:dyDescent="0.25">
      <c r="A29" s="105" t="s">
        <v>186</v>
      </c>
      <c r="B29" s="101" t="s">
        <v>23</v>
      </c>
      <c r="C29" s="101">
        <v>1</v>
      </c>
      <c r="D29" s="4">
        <v>100</v>
      </c>
      <c r="E29" s="101">
        <v>1</v>
      </c>
      <c r="F29" s="4">
        <f t="shared" si="8"/>
        <v>100</v>
      </c>
      <c r="G29" s="101">
        <v>3</v>
      </c>
      <c r="H29" s="4">
        <f t="shared" si="9"/>
        <v>300</v>
      </c>
      <c r="I29" s="101">
        <v>3</v>
      </c>
      <c r="J29" s="4">
        <f t="shared" si="10"/>
        <v>100</v>
      </c>
      <c r="K29" s="101">
        <v>3</v>
      </c>
      <c r="L29" s="101">
        <f t="shared" si="11"/>
        <v>100</v>
      </c>
      <c r="M29" s="4">
        <v>3</v>
      </c>
      <c r="N29" s="4">
        <f t="shared" si="20"/>
        <v>100</v>
      </c>
      <c r="O29" s="4">
        <v>3</v>
      </c>
      <c r="P29" s="4">
        <f t="shared" si="21"/>
        <v>100</v>
      </c>
      <c r="Q29" s="4">
        <v>3</v>
      </c>
      <c r="R29" s="4">
        <f t="shared" si="22"/>
        <v>100</v>
      </c>
      <c r="S29" s="4">
        <v>3</v>
      </c>
      <c r="T29" s="4">
        <f t="shared" si="23"/>
        <v>100</v>
      </c>
    </row>
    <row r="30" spans="1:20" ht="15.75" x14ac:dyDescent="0.25">
      <c r="A30" s="105" t="s">
        <v>187</v>
      </c>
      <c r="B30" s="101" t="s">
        <v>23</v>
      </c>
      <c r="C30" s="101">
        <v>0</v>
      </c>
      <c r="D30" s="4">
        <v>100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</row>
    <row r="31" spans="1:20" ht="31.5" x14ac:dyDescent="0.25">
      <c r="A31" s="105" t="s">
        <v>188</v>
      </c>
      <c r="B31" s="101" t="s">
        <v>23</v>
      </c>
      <c r="C31" s="101">
        <v>0</v>
      </c>
      <c r="D31" s="4">
        <v>100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</row>
    <row r="32" spans="1:20" ht="78.75" x14ac:dyDescent="0.25">
      <c r="A32" s="105" t="s">
        <v>189</v>
      </c>
      <c r="B32" s="101" t="s">
        <v>23</v>
      </c>
      <c r="C32" s="101">
        <v>7</v>
      </c>
      <c r="D32" s="4">
        <f>C32/7*100</f>
        <v>100</v>
      </c>
      <c r="E32" s="101">
        <v>7</v>
      </c>
      <c r="F32" s="4">
        <f t="shared" si="8"/>
        <v>100</v>
      </c>
      <c r="G32" s="101">
        <v>14</v>
      </c>
      <c r="H32" s="4">
        <f t="shared" si="9"/>
        <v>200</v>
      </c>
      <c r="I32" s="101">
        <v>14</v>
      </c>
      <c r="J32" s="4">
        <f t="shared" si="10"/>
        <v>100</v>
      </c>
      <c r="K32" s="101">
        <v>14</v>
      </c>
      <c r="L32" s="101">
        <f t="shared" si="11"/>
        <v>100</v>
      </c>
      <c r="M32" s="4">
        <v>14</v>
      </c>
      <c r="N32" s="4">
        <f t="shared" ref="N32:N44" si="24">M32/K32*100</f>
        <v>100</v>
      </c>
      <c r="O32" s="4">
        <v>14</v>
      </c>
      <c r="P32" s="4">
        <f t="shared" ref="P32:P44" si="25">O32/M32*100</f>
        <v>100</v>
      </c>
      <c r="Q32" s="4">
        <v>14</v>
      </c>
      <c r="R32" s="4">
        <f t="shared" ref="R32:R44" si="26">Q32/O32*100</f>
        <v>100</v>
      </c>
      <c r="S32" s="4">
        <v>14</v>
      </c>
      <c r="T32" s="4">
        <f t="shared" ref="T32:T44" si="27">S32/Q32*100</f>
        <v>100</v>
      </c>
    </row>
    <row r="33" spans="1:20" ht="31.5" x14ac:dyDescent="0.25">
      <c r="A33" s="105" t="s">
        <v>190</v>
      </c>
      <c r="B33" s="101" t="s">
        <v>23</v>
      </c>
      <c r="C33" s="101">
        <v>1</v>
      </c>
      <c r="D33" s="4">
        <f>C33/2*100</f>
        <v>50</v>
      </c>
      <c r="E33" s="101">
        <v>1</v>
      </c>
      <c r="F33" s="4">
        <f t="shared" si="8"/>
        <v>100</v>
      </c>
      <c r="G33" s="101">
        <v>4</v>
      </c>
      <c r="H33" s="4">
        <f t="shared" si="9"/>
        <v>400</v>
      </c>
      <c r="I33" s="101">
        <v>4</v>
      </c>
      <c r="J33" s="4">
        <f t="shared" si="10"/>
        <v>100</v>
      </c>
      <c r="K33" s="101">
        <v>4</v>
      </c>
      <c r="L33" s="101">
        <f t="shared" si="11"/>
        <v>100</v>
      </c>
      <c r="M33" s="4">
        <v>4</v>
      </c>
      <c r="N33" s="4">
        <f t="shared" si="24"/>
        <v>100</v>
      </c>
      <c r="O33" s="4">
        <v>4</v>
      </c>
      <c r="P33" s="4">
        <f t="shared" si="25"/>
        <v>100</v>
      </c>
      <c r="Q33" s="4">
        <v>4</v>
      </c>
      <c r="R33" s="4">
        <f t="shared" si="26"/>
        <v>100</v>
      </c>
      <c r="S33" s="4">
        <v>4</v>
      </c>
      <c r="T33" s="4">
        <f t="shared" si="27"/>
        <v>100</v>
      </c>
    </row>
    <row r="34" spans="1:20" ht="47.25" x14ac:dyDescent="0.25">
      <c r="A34" s="105" t="s">
        <v>191</v>
      </c>
      <c r="B34" s="101" t="s">
        <v>23</v>
      </c>
      <c r="C34" s="101">
        <v>1</v>
      </c>
      <c r="D34" s="4">
        <f>C34/1*100</f>
        <v>100</v>
      </c>
      <c r="E34" s="101">
        <v>1</v>
      </c>
      <c r="F34" s="4">
        <f t="shared" si="8"/>
        <v>100</v>
      </c>
      <c r="G34" s="101">
        <v>3</v>
      </c>
      <c r="H34" s="4">
        <f t="shared" si="9"/>
        <v>300</v>
      </c>
      <c r="I34" s="101">
        <v>3</v>
      </c>
      <c r="J34" s="4">
        <f t="shared" si="10"/>
        <v>100</v>
      </c>
      <c r="K34" s="101">
        <v>3</v>
      </c>
      <c r="L34" s="101">
        <f t="shared" si="11"/>
        <v>100</v>
      </c>
      <c r="M34" s="4">
        <v>3</v>
      </c>
      <c r="N34" s="4">
        <f t="shared" si="24"/>
        <v>100</v>
      </c>
      <c r="O34" s="4">
        <v>3</v>
      </c>
      <c r="P34" s="4">
        <f t="shared" si="25"/>
        <v>100</v>
      </c>
      <c r="Q34" s="4">
        <v>3</v>
      </c>
      <c r="R34" s="4">
        <f t="shared" si="26"/>
        <v>100</v>
      </c>
      <c r="S34" s="4">
        <v>3</v>
      </c>
      <c r="T34" s="4">
        <f t="shared" si="27"/>
        <v>100</v>
      </c>
    </row>
    <row r="35" spans="1:20" ht="15.75" x14ac:dyDescent="0.25">
      <c r="A35" s="105" t="s">
        <v>192</v>
      </c>
      <c r="B35" s="101" t="s">
        <v>23</v>
      </c>
      <c r="C35" s="101">
        <v>1</v>
      </c>
      <c r="D35" s="4">
        <f>C35/1*100</f>
        <v>100</v>
      </c>
      <c r="E35" s="101">
        <v>1</v>
      </c>
      <c r="F35" s="4">
        <f t="shared" si="8"/>
        <v>100</v>
      </c>
      <c r="G35" s="101">
        <v>2</v>
      </c>
      <c r="H35" s="4">
        <f t="shared" si="9"/>
        <v>200</v>
      </c>
      <c r="I35" s="101">
        <v>2</v>
      </c>
      <c r="J35" s="4">
        <f t="shared" si="10"/>
        <v>100</v>
      </c>
      <c r="K35" s="101">
        <v>2</v>
      </c>
      <c r="L35" s="101">
        <f t="shared" si="11"/>
        <v>100</v>
      </c>
      <c r="M35" s="4">
        <v>2</v>
      </c>
      <c r="N35" s="4">
        <f t="shared" si="24"/>
        <v>100</v>
      </c>
      <c r="O35" s="4">
        <v>2</v>
      </c>
      <c r="P35" s="4">
        <f t="shared" si="25"/>
        <v>100</v>
      </c>
      <c r="Q35" s="4">
        <v>2</v>
      </c>
      <c r="R35" s="4">
        <f t="shared" si="26"/>
        <v>100</v>
      </c>
      <c r="S35" s="4">
        <v>2</v>
      </c>
      <c r="T35" s="4">
        <f t="shared" si="27"/>
        <v>100</v>
      </c>
    </row>
    <row r="36" spans="1:20" ht="15.75" x14ac:dyDescent="0.25">
      <c r="A36" s="105" t="s">
        <v>193</v>
      </c>
      <c r="B36" s="101" t="s">
        <v>23</v>
      </c>
      <c r="C36" s="101">
        <v>1</v>
      </c>
      <c r="D36" s="4">
        <f>C36/1*100</f>
        <v>100</v>
      </c>
      <c r="E36" s="101">
        <v>1</v>
      </c>
      <c r="F36" s="4">
        <f t="shared" si="8"/>
        <v>100</v>
      </c>
      <c r="G36" s="101">
        <v>1</v>
      </c>
      <c r="H36" s="4">
        <f t="shared" si="9"/>
        <v>100</v>
      </c>
      <c r="I36" s="101">
        <v>1</v>
      </c>
      <c r="J36" s="4">
        <f t="shared" si="10"/>
        <v>100</v>
      </c>
      <c r="K36" s="101">
        <v>1</v>
      </c>
      <c r="L36" s="101">
        <f t="shared" si="11"/>
        <v>100</v>
      </c>
      <c r="M36" s="4">
        <v>1</v>
      </c>
      <c r="N36" s="4">
        <f t="shared" si="24"/>
        <v>100</v>
      </c>
      <c r="O36" s="4">
        <v>1</v>
      </c>
      <c r="P36" s="4">
        <f t="shared" si="25"/>
        <v>100</v>
      </c>
      <c r="Q36" s="4">
        <v>1</v>
      </c>
      <c r="R36" s="4">
        <f t="shared" si="26"/>
        <v>100</v>
      </c>
      <c r="S36" s="4">
        <v>1</v>
      </c>
      <c r="T36" s="4">
        <f t="shared" si="27"/>
        <v>100</v>
      </c>
    </row>
    <row r="37" spans="1:20" ht="15.75" x14ac:dyDescent="0.25">
      <c r="A37" s="105" t="s">
        <v>194</v>
      </c>
      <c r="B37" s="101" t="s">
        <v>23</v>
      </c>
      <c r="C37" s="101">
        <v>1</v>
      </c>
      <c r="D37" s="4">
        <f>C37/1*100</f>
        <v>100</v>
      </c>
      <c r="E37" s="101">
        <v>1</v>
      </c>
      <c r="F37" s="4">
        <f t="shared" si="8"/>
        <v>100</v>
      </c>
      <c r="G37" s="101">
        <v>3</v>
      </c>
      <c r="H37" s="4">
        <f t="shared" si="9"/>
        <v>300</v>
      </c>
      <c r="I37" s="101">
        <v>3</v>
      </c>
      <c r="J37" s="4">
        <f t="shared" si="10"/>
        <v>100</v>
      </c>
      <c r="K37" s="101">
        <v>3</v>
      </c>
      <c r="L37" s="101">
        <f t="shared" si="11"/>
        <v>100</v>
      </c>
      <c r="M37" s="4">
        <v>3</v>
      </c>
      <c r="N37" s="4">
        <f t="shared" si="24"/>
        <v>100</v>
      </c>
      <c r="O37" s="4">
        <v>3</v>
      </c>
      <c r="P37" s="4">
        <f t="shared" si="25"/>
        <v>100</v>
      </c>
      <c r="Q37" s="4">
        <v>3</v>
      </c>
      <c r="R37" s="4">
        <f t="shared" si="26"/>
        <v>100</v>
      </c>
      <c r="S37" s="4">
        <v>3</v>
      </c>
      <c r="T37" s="4">
        <f t="shared" si="27"/>
        <v>100</v>
      </c>
    </row>
    <row r="38" spans="1:20" ht="31.5" x14ac:dyDescent="0.25">
      <c r="A38" s="105" t="s">
        <v>195</v>
      </c>
      <c r="B38" s="101" t="s">
        <v>23</v>
      </c>
      <c r="C38" s="101">
        <v>1</v>
      </c>
      <c r="D38" s="4">
        <f>C38/1*100</f>
        <v>100</v>
      </c>
      <c r="E38" s="101">
        <v>1</v>
      </c>
      <c r="F38" s="4">
        <f t="shared" si="8"/>
        <v>100</v>
      </c>
      <c r="G38" s="101">
        <v>1</v>
      </c>
      <c r="H38" s="4">
        <f t="shared" si="9"/>
        <v>100</v>
      </c>
      <c r="I38" s="101">
        <v>1</v>
      </c>
      <c r="J38" s="4">
        <f t="shared" si="10"/>
        <v>100</v>
      </c>
      <c r="K38" s="101">
        <v>1</v>
      </c>
      <c r="L38" s="101">
        <f t="shared" si="11"/>
        <v>100</v>
      </c>
      <c r="M38" s="4">
        <v>1</v>
      </c>
      <c r="N38" s="4">
        <f t="shared" si="24"/>
        <v>100</v>
      </c>
      <c r="O38" s="4">
        <v>1</v>
      </c>
      <c r="P38" s="4">
        <f t="shared" si="25"/>
        <v>100</v>
      </c>
      <c r="Q38" s="4">
        <v>1</v>
      </c>
      <c r="R38" s="4">
        <f t="shared" si="26"/>
        <v>100</v>
      </c>
      <c r="S38" s="4">
        <v>1</v>
      </c>
      <c r="T38" s="4">
        <f t="shared" si="27"/>
        <v>100</v>
      </c>
    </row>
    <row r="39" spans="1:20" ht="78.75" x14ac:dyDescent="0.25">
      <c r="A39" s="105" t="s">
        <v>196</v>
      </c>
      <c r="B39" s="101" t="s">
        <v>23</v>
      </c>
      <c r="C39" s="101">
        <v>2</v>
      </c>
      <c r="D39" s="4">
        <f>C39/2*100</f>
        <v>100</v>
      </c>
      <c r="E39" s="101">
        <v>2</v>
      </c>
      <c r="F39" s="4">
        <f t="shared" si="8"/>
        <v>100</v>
      </c>
      <c r="G39" s="101">
        <v>4</v>
      </c>
      <c r="H39" s="4">
        <f t="shared" si="9"/>
        <v>200</v>
      </c>
      <c r="I39" s="101">
        <v>4</v>
      </c>
      <c r="J39" s="4">
        <f t="shared" si="10"/>
        <v>100</v>
      </c>
      <c r="K39" s="101">
        <v>4</v>
      </c>
      <c r="L39" s="101">
        <f t="shared" si="11"/>
        <v>100</v>
      </c>
      <c r="M39" s="4">
        <v>4</v>
      </c>
      <c r="N39" s="4">
        <f t="shared" si="24"/>
        <v>100</v>
      </c>
      <c r="O39" s="4">
        <v>4</v>
      </c>
      <c r="P39" s="4">
        <f t="shared" si="25"/>
        <v>100</v>
      </c>
      <c r="Q39" s="4">
        <v>4</v>
      </c>
      <c r="R39" s="4">
        <f t="shared" si="26"/>
        <v>100</v>
      </c>
      <c r="S39" s="4">
        <v>4</v>
      </c>
      <c r="T39" s="4">
        <f t="shared" si="27"/>
        <v>100</v>
      </c>
    </row>
    <row r="40" spans="1:20" ht="63" x14ac:dyDescent="0.25">
      <c r="A40" s="105" t="s">
        <v>197</v>
      </c>
      <c r="B40" s="101" t="s">
        <v>23</v>
      </c>
      <c r="C40" s="101">
        <v>4</v>
      </c>
      <c r="D40" s="4">
        <f>C40/3987*100</f>
        <v>0.1003260596940055</v>
      </c>
      <c r="E40" s="101">
        <v>4</v>
      </c>
      <c r="F40" s="4">
        <f t="shared" si="8"/>
        <v>100</v>
      </c>
      <c r="G40" s="101">
        <v>6</v>
      </c>
      <c r="H40" s="4">
        <f t="shared" si="9"/>
        <v>150</v>
      </c>
      <c r="I40" s="101">
        <v>6</v>
      </c>
      <c r="J40" s="4">
        <f t="shared" si="10"/>
        <v>100</v>
      </c>
      <c r="K40" s="101">
        <v>6</v>
      </c>
      <c r="L40" s="101">
        <f t="shared" si="11"/>
        <v>100</v>
      </c>
      <c r="M40" s="4">
        <v>6</v>
      </c>
      <c r="N40" s="4">
        <f t="shared" si="24"/>
        <v>100</v>
      </c>
      <c r="O40" s="4">
        <v>6</v>
      </c>
      <c r="P40" s="4">
        <f t="shared" si="25"/>
        <v>100</v>
      </c>
      <c r="Q40" s="4">
        <v>6</v>
      </c>
      <c r="R40" s="4">
        <f t="shared" si="26"/>
        <v>100</v>
      </c>
      <c r="S40" s="4">
        <v>6</v>
      </c>
      <c r="T40" s="4">
        <f t="shared" si="27"/>
        <v>100</v>
      </c>
    </row>
    <row r="41" spans="1:20" ht="15.75" x14ac:dyDescent="0.25">
      <c r="A41" s="105" t="s">
        <v>198</v>
      </c>
      <c r="B41" s="101" t="s">
        <v>199</v>
      </c>
      <c r="C41" s="101">
        <v>14.7</v>
      </c>
      <c r="D41" s="4">
        <f>C41/14.7*100</f>
        <v>100</v>
      </c>
      <c r="E41" s="101">
        <v>14.7</v>
      </c>
      <c r="F41" s="4">
        <f t="shared" si="8"/>
        <v>100</v>
      </c>
      <c r="G41" s="101">
        <v>27.97</v>
      </c>
      <c r="H41" s="4">
        <f t="shared" si="9"/>
        <v>190.27210884353741</v>
      </c>
      <c r="I41" s="101">
        <v>27.97</v>
      </c>
      <c r="J41" s="4">
        <f t="shared" si="10"/>
        <v>100</v>
      </c>
      <c r="K41" s="101">
        <v>27.97</v>
      </c>
      <c r="L41" s="101">
        <f t="shared" si="11"/>
        <v>100</v>
      </c>
      <c r="M41" s="4">
        <v>27.97</v>
      </c>
      <c r="N41" s="4">
        <f t="shared" si="24"/>
        <v>100</v>
      </c>
      <c r="O41" s="4">
        <v>27.97</v>
      </c>
      <c r="P41" s="4">
        <f t="shared" si="25"/>
        <v>100</v>
      </c>
      <c r="Q41" s="4">
        <v>27.97</v>
      </c>
      <c r="R41" s="4">
        <f t="shared" si="26"/>
        <v>100</v>
      </c>
      <c r="S41" s="4">
        <v>27.97</v>
      </c>
      <c r="T41" s="4">
        <f t="shared" si="27"/>
        <v>100</v>
      </c>
    </row>
    <row r="42" spans="1:20" ht="47.25" x14ac:dyDescent="0.25">
      <c r="A42" s="105" t="s">
        <v>200</v>
      </c>
      <c r="B42" s="101" t="s">
        <v>199</v>
      </c>
      <c r="C42" s="101">
        <v>11.1</v>
      </c>
      <c r="D42" s="4">
        <f>C42/11.1*100</f>
        <v>100</v>
      </c>
      <c r="E42" s="101">
        <v>11.1</v>
      </c>
      <c r="F42" s="4">
        <f t="shared" si="8"/>
        <v>100</v>
      </c>
      <c r="G42" s="4">
        <v>21</v>
      </c>
      <c r="H42" s="4">
        <f t="shared" si="9"/>
        <v>189.18918918918919</v>
      </c>
      <c r="I42" s="4">
        <v>21</v>
      </c>
      <c r="J42" s="4">
        <f t="shared" si="10"/>
        <v>100</v>
      </c>
      <c r="K42" s="4">
        <v>21</v>
      </c>
      <c r="L42" s="101">
        <f t="shared" si="11"/>
        <v>100</v>
      </c>
      <c r="M42" s="4">
        <v>21</v>
      </c>
      <c r="N42" s="4">
        <f t="shared" si="24"/>
        <v>100</v>
      </c>
      <c r="O42" s="4">
        <v>21</v>
      </c>
      <c r="P42" s="4">
        <f t="shared" si="25"/>
        <v>100</v>
      </c>
      <c r="Q42" s="4">
        <v>21</v>
      </c>
      <c r="R42" s="4">
        <f t="shared" si="26"/>
        <v>100</v>
      </c>
      <c r="S42" s="4">
        <v>21</v>
      </c>
      <c r="T42" s="4">
        <f t="shared" si="27"/>
        <v>100</v>
      </c>
    </row>
    <row r="43" spans="1:20" ht="15.75" x14ac:dyDescent="0.25">
      <c r="A43" s="105" t="s">
        <v>201</v>
      </c>
      <c r="B43" s="101" t="s">
        <v>113</v>
      </c>
      <c r="C43" s="101">
        <v>1</v>
      </c>
      <c r="D43" s="4">
        <f>C43/1*100</f>
        <v>100</v>
      </c>
      <c r="E43" s="101">
        <v>1</v>
      </c>
      <c r="F43" s="4">
        <f t="shared" si="8"/>
        <v>100</v>
      </c>
      <c r="G43" s="101">
        <v>1</v>
      </c>
      <c r="H43" s="4">
        <f t="shared" si="9"/>
        <v>100</v>
      </c>
      <c r="I43" s="101">
        <v>1</v>
      </c>
      <c r="J43" s="4">
        <f t="shared" si="10"/>
        <v>100</v>
      </c>
      <c r="K43" s="101">
        <v>1</v>
      </c>
      <c r="L43" s="101">
        <f t="shared" si="11"/>
        <v>100</v>
      </c>
      <c r="M43" s="4">
        <v>1</v>
      </c>
      <c r="N43" s="4">
        <f t="shared" si="24"/>
        <v>100</v>
      </c>
      <c r="O43" s="4">
        <v>1</v>
      </c>
      <c r="P43" s="4">
        <f t="shared" si="25"/>
        <v>100</v>
      </c>
      <c r="Q43" s="4">
        <v>1</v>
      </c>
      <c r="R43" s="4">
        <f t="shared" si="26"/>
        <v>100</v>
      </c>
      <c r="S43" s="4">
        <v>1</v>
      </c>
      <c r="T43" s="4">
        <f t="shared" si="27"/>
        <v>100</v>
      </c>
    </row>
    <row r="44" spans="1:20" ht="15.75" x14ac:dyDescent="0.25">
      <c r="A44" s="105" t="s">
        <v>202</v>
      </c>
      <c r="B44" s="101" t="s">
        <v>25</v>
      </c>
      <c r="C44" s="101">
        <v>0.2</v>
      </c>
      <c r="D44" s="4">
        <f>C44/0.2*100</f>
        <v>100</v>
      </c>
      <c r="E44" s="101">
        <v>0.2</v>
      </c>
      <c r="F44" s="4">
        <f t="shared" si="8"/>
        <v>100</v>
      </c>
      <c r="G44" s="101">
        <v>0.2</v>
      </c>
      <c r="H44" s="4">
        <f t="shared" si="9"/>
        <v>100</v>
      </c>
      <c r="I44" s="101">
        <v>0.2</v>
      </c>
      <c r="J44" s="4">
        <f t="shared" si="10"/>
        <v>100</v>
      </c>
      <c r="K44" s="101">
        <v>0.2</v>
      </c>
      <c r="L44" s="101">
        <f t="shared" si="11"/>
        <v>100</v>
      </c>
      <c r="M44" s="4">
        <v>0.2</v>
      </c>
      <c r="N44" s="4">
        <f t="shared" si="24"/>
        <v>100</v>
      </c>
      <c r="O44" s="4">
        <v>0.2</v>
      </c>
      <c r="P44" s="4">
        <f t="shared" si="25"/>
        <v>100</v>
      </c>
      <c r="Q44" s="4">
        <v>0.2</v>
      </c>
      <c r="R44" s="4">
        <f t="shared" si="26"/>
        <v>100</v>
      </c>
      <c r="S44" s="4">
        <v>0.2</v>
      </c>
      <c r="T44" s="4">
        <f t="shared" si="27"/>
        <v>100</v>
      </c>
    </row>
    <row r="45" spans="1:20" ht="63" x14ac:dyDescent="0.25">
      <c r="A45" s="105" t="s">
        <v>203</v>
      </c>
      <c r="B45" s="101" t="s">
        <v>113</v>
      </c>
      <c r="C45" s="101"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</row>
    <row r="46" spans="1:20" ht="63" x14ac:dyDescent="0.25">
      <c r="A46" s="105" t="s">
        <v>203</v>
      </c>
      <c r="B46" s="101" t="s">
        <v>204</v>
      </c>
      <c r="C46" s="101">
        <v>0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</row>
    <row r="47" spans="1:2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20" ht="15.75" x14ac:dyDescent="0.25">
      <c r="A48" s="26" t="s">
        <v>68</v>
      </c>
      <c r="B48" s="103"/>
      <c r="C48" s="107" t="s">
        <v>68</v>
      </c>
      <c r="D48" s="107"/>
      <c r="E48" s="107"/>
      <c r="F48" s="107"/>
      <c r="G48" s="107"/>
      <c r="H48" s="107"/>
      <c r="I48" s="107"/>
      <c r="J48" s="107"/>
      <c r="K48" s="1"/>
      <c r="L48" s="1"/>
    </row>
    <row r="49" spans="1:12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1"/>
      <c r="L49" s="1"/>
    </row>
  </sheetData>
  <mergeCells count="4">
    <mergeCell ref="A8:L8"/>
    <mergeCell ref="H1:L4"/>
    <mergeCell ref="A6:L6"/>
    <mergeCell ref="A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9"/>
  <sheetViews>
    <sheetView tabSelected="1" view="pageBreakPreview" topLeftCell="A169" zoomScale="87" zoomScaleNormal="75" zoomScaleSheetLayoutView="87" workbookViewId="0">
      <selection activeCell="N177" sqref="N177"/>
    </sheetView>
  </sheetViews>
  <sheetFormatPr defaultRowHeight="15.75" x14ac:dyDescent="0.25"/>
  <cols>
    <col min="1" max="1" width="4.42578125" style="28" customWidth="1"/>
    <col min="2" max="2" width="34.5703125" style="28" customWidth="1"/>
    <col min="3" max="3" width="7.42578125" style="28" customWidth="1"/>
    <col min="4" max="4" width="10" style="28" customWidth="1"/>
    <col min="5" max="6" width="12.28515625" style="28" customWidth="1"/>
    <col min="7" max="7" width="12" style="28" customWidth="1"/>
    <col min="8" max="8" width="13.42578125" style="28" customWidth="1"/>
    <col min="9" max="9" width="14.42578125" style="28" customWidth="1"/>
    <col min="10" max="10" width="13.7109375" style="28" customWidth="1"/>
    <col min="11" max="14" width="14.140625" style="28" customWidth="1"/>
    <col min="15" max="15" width="15" style="28" customWidth="1"/>
    <col min="16" max="16" width="13.5703125" style="28" customWidth="1"/>
    <col min="17" max="17" width="36.85546875" style="28" customWidth="1"/>
    <col min="18" max="26" width="0" style="28" hidden="1" customWidth="1"/>
    <col min="27" max="241" width="9.140625" style="28"/>
    <col min="242" max="242" width="4.42578125" style="28" customWidth="1"/>
    <col min="243" max="243" width="34.5703125" style="28" customWidth="1"/>
    <col min="244" max="244" width="7.42578125" style="28" customWidth="1"/>
    <col min="245" max="245" width="10" style="28" customWidth="1"/>
    <col min="246" max="246" width="12.28515625" style="28" customWidth="1"/>
    <col min="247" max="247" width="12" style="28" customWidth="1"/>
    <col min="248" max="248" width="13.42578125" style="28" customWidth="1"/>
    <col min="249" max="249" width="14.42578125" style="28" customWidth="1"/>
    <col min="250" max="250" width="13.7109375" style="28" customWidth="1"/>
    <col min="251" max="253" width="14.140625" style="28" customWidth="1"/>
    <col min="254" max="254" width="15" style="28" customWidth="1"/>
    <col min="255" max="255" width="13.5703125" style="28" customWidth="1"/>
    <col min="256" max="256" width="36.85546875" style="28" customWidth="1"/>
    <col min="257" max="257" width="37.7109375" style="28" customWidth="1"/>
    <col min="258" max="497" width="9.140625" style="28"/>
    <col min="498" max="498" width="4.42578125" style="28" customWidth="1"/>
    <col min="499" max="499" width="34.5703125" style="28" customWidth="1"/>
    <col min="500" max="500" width="7.42578125" style="28" customWidth="1"/>
    <col min="501" max="501" width="10" style="28" customWidth="1"/>
    <col min="502" max="502" width="12.28515625" style="28" customWidth="1"/>
    <col min="503" max="503" width="12" style="28" customWidth="1"/>
    <col min="504" max="504" width="13.42578125" style="28" customWidth="1"/>
    <col min="505" max="505" width="14.42578125" style="28" customWidth="1"/>
    <col min="506" max="506" width="13.7109375" style="28" customWidth="1"/>
    <col min="507" max="509" width="14.140625" style="28" customWidth="1"/>
    <col min="510" max="510" width="15" style="28" customWidth="1"/>
    <col min="511" max="511" width="13.5703125" style="28" customWidth="1"/>
    <col min="512" max="512" width="36.85546875" style="28" customWidth="1"/>
    <col min="513" max="513" width="37.7109375" style="28" customWidth="1"/>
    <col min="514" max="753" width="9.140625" style="28"/>
    <col min="754" max="754" width="4.42578125" style="28" customWidth="1"/>
    <col min="755" max="755" width="34.5703125" style="28" customWidth="1"/>
    <col min="756" max="756" width="7.42578125" style="28" customWidth="1"/>
    <col min="757" max="757" width="10" style="28" customWidth="1"/>
    <col min="758" max="758" width="12.28515625" style="28" customWidth="1"/>
    <col min="759" max="759" width="12" style="28" customWidth="1"/>
    <col min="760" max="760" width="13.42578125" style="28" customWidth="1"/>
    <col min="761" max="761" width="14.42578125" style="28" customWidth="1"/>
    <col min="762" max="762" width="13.7109375" style="28" customWidth="1"/>
    <col min="763" max="765" width="14.140625" style="28" customWidth="1"/>
    <col min="766" max="766" width="15" style="28" customWidth="1"/>
    <col min="767" max="767" width="13.5703125" style="28" customWidth="1"/>
    <col min="768" max="768" width="36.85546875" style="28" customWidth="1"/>
    <col min="769" max="769" width="37.7109375" style="28" customWidth="1"/>
    <col min="770" max="1009" width="9.140625" style="28"/>
    <col min="1010" max="1010" width="4.42578125" style="28" customWidth="1"/>
    <col min="1011" max="1011" width="34.5703125" style="28" customWidth="1"/>
    <col min="1012" max="1012" width="7.42578125" style="28" customWidth="1"/>
    <col min="1013" max="1013" width="10" style="28" customWidth="1"/>
    <col min="1014" max="1014" width="12.28515625" style="28" customWidth="1"/>
    <col min="1015" max="1015" width="12" style="28" customWidth="1"/>
    <col min="1016" max="1016" width="13.42578125" style="28" customWidth="1"/>
    <col min="1017" max="1017" width="14.42578125" style="28" customWidth="1"/>
    <col min="1018" max="1018" width="13.7109375" style="28" customWidth="1"/>
    <col min="1019" max="1021" width="14.140625" style="28" customWidth="1"/>
    <col min="1022" max="1022" width="15" style="28" customWidth="1"/>
    <col min="1023" max="1023" width="13.5703125" style="28" customWidth="1"/>
    <col min="1024" max="1024" width="36.85546875" style="28" customWidth="1"/>
    <col min="1025" max="1025" width="37.7109375" style="28" customWidth="1"/>
    <col min="1026" max="1265" width="9.140625" style="28"/>
    <col min="1266" max="1266" width="4.42578125" style="28" customWidth="1"/>
    <col min="1267" max="1267" width="34.5703125" style="28" customWidth="1"/>
    <col min="1268" max="1268" width="7.42578125" style="28" customWidth="1"/>
    <col min="1269" max="1269" width="10" style="28" customWidth="1"/>
    <col min="1270" max="1270" width="12.28515625" style="28" customWidth="1"/>
    <col min="1271" max="1271" width="12" style="28" customWidth="1"/>
    <col min="1272" max="1272" width="13.42578125" style="28" customWidth="1"/>
    <col min="1273" max="1273" width="14.42578125" style="28" customWidth="1"/>
    <col min="1274" max="1274" width="13.7109375" style="28" customWidth="1"/>
    <col min="1275" max="1277" width="14.140625" style="28" customWidth="1"/>
    <col min="1278" max="1278" width="15" style="28" customWidth="1"/>
    <col min="1279" max="1279" width="13.5703125" style="28" customWidth="1"/>
    <col min="1280" max="1280" width="36.85546875" style="28" customWidth="1"/>
    <col min="1281" max="1281" width="37.7109375" style="28" customWidth="1"/>
    <col min="1282" max="1521" width="9.140625" style="28"/>
    <col min="1522" max="1522" width="4.42578125" style="28" customWidth="1"/>
    <col min="1523" max="1523" width="34.5703125" style="28" customWidth="1"/>
    <col min="1524" max="1524" width="7.42578125" style="28" customWidth="1"/>
    <col min="1525" max="1525" width="10" style="28" customWidth="1"/>
    <col min="1526" max="1526" width="12.28515625" style="28" customWidth="1"/>
    <col min="1527" max="1527" width="12" style="28" customWidth="1"/>
    <col min="1528" max="1528" width="13.42578125" style="28" customWidth="1"/>
    <col min="1529" max="1529" width="14.42578125" style="28" customWidth="1"/>
    <col min="1530" max="1530" width="13.7109375" style="28" customWidth="1"/>
    <col min="1531" max="1533" width="14.140625" style="28" customWidth="1"/>
    <col min="1534" max="1534" width="15" style="28" customWidth="1"/>
    <col min="1535" max="1535" width="13.5703125" style="28" customWidth="1"/>
    <col min="1536" max="1536" width="36.85546875" style="28" customWidth="1"/>
    <col min="1537" max="1537" width="37.7109375" style="28" customWidth="1"/>
    <col min="1538" max="1777" width="9.140625" style="28"/>
    <col min="1778" max="1778" width="4.42578125" style="28" customWidth="1"/>
    <col min="1779" max="1779" width="34.5703125" style="28" customWidth="1"/>
    <col min="1780" max="1780" width="7.42578125" style="28" customWidth="1"/>
    <col min="1781" max="1781" width="10" style="28" customWidth="1"/>
    <col min="1782" max="1782" width="12.28515625" style="28" customWidth="1"/>
    <col min="1783" max="1783" width="12" style="28" customWidth="1"/>
    <col min="1784" max="1784" width="13.42578125" style="28" customWidth="1"/>
    <col min="1785" max="1785" width="14.42578125" style="28" customWidth="1"/>
    <col min="1786" max="1786" width="13.7109375" style="28" customWidth="1"/>
    <col min="1787" max="1789" width="14.140625" style="28" customWidth="1"/>
    <col min="1790" max="1790" width="15" style="28" customWidth="1"/>
    <col min="1791" max="1791" width="13.5703125" style="28" customWidth="1"/>
    <col min="1792" max="1792" width="36.85546875" style="28" customWidth="1"/>
    <col min="1793" max="1793" width="37.7109375" style="28" customWidth="1"/>
    <col min="1794" max="2033" width="9.140625" style="28"/>
    <col min="2034" max="2034" width="4.42578125" style="28" customWidth="1"/>
    <col min="2035" max="2035" width="34.5703125" style="28" customWidth="1"/>
    <col min="2036" max="2036" width="7.42578125" style="28" customWidth="1"/>
    <col min="2037" max="2037" width="10" style="28" customWidth="1"/>
    <col min="2038" max="2038" width="12.28515625" style="28" customWidth="1"/>
    <col min="2039" max="2039" width="12" style="28" customWidth="1"/>
    <col min="2040" max="2040" width="13.42578125" style="28" customWidth="1"/>
    <col min="2041" max="2041" width="14.42578125" style="28" customWidth="1"/>
    <col min="2042" max="2042" width="13.7109375" style="28" customWidth="1"/>
    <col min="2043" max="2045" width="14.140625" style="28" customWidth="1"/>
    <col min="2046" max="2046" width="15" style="28" customWidth="1"/>
    <col min="2047" max="2047" width="13.5703125" style="28" customWidth="1"/>
    <col min="2048" max="2048" width="36.85546875" style="28" customWidth="1"/>
    <col min="2049" max="2049" width="37.7109375" style="28" customWidth="1"/>
    <col min="2050" max="2289" width="9.140625" style="28"/>
    <col min="2290" max="2290" width="4.42578125" style="28" customWidth="1"/>
    <col min="2291" max="2291" width="34.5703125" style="28" customWidth="1"/>
    <col min="2292" max="2292" width="7.42578125" style="28" customWidth="1"/>
    <col min="2293" max="2293" width="10" style="28" customWidth="1"/>
    <col min="2294" max="2294" width="12.28515625" style="28" customWidth="1"/>
    <col min="2295" max="2295" width="12" style="28" customWidth="1"/>
    <col min="2296" max="2296" width="13.42578125" style="28" customWidth="1"/>
    <col min="2297" max="2297" width="14.42578125" style="28" customWidth="1"/>
    <col min="2298" max="2298" width="13.7109375" style="28" customWidth="1"/>
    <col min="2299" max="2301" width="14.140625" style="28" customWidth="1"/>
    <col min="2302" max="2302" width="15" style="28" customWidth="1"/>
    <col min="2303" max="2303" width="13.5703125" style="28" customWidth="1"/>
    <col min="2304" max="2304" width="36.85546875" style="28" customWidth="1"/>
    <col min="2305" max="2305" width="37.7109375" style="28" customWidth="1"/>
    <col min="2306" max="2545" width="9.140625" style="28"/>
    <col min="2546" max="2546" width="4.42578125" style="28" customWidth="1"/>
    <col min="2547" max="2547" width="34.5703125" style="28" customWidth="1"/>
    <col min="2548" max="2548" width="7.42578125" style="28" customWidth="1"/>
    <col min="2549" max="2549" width="10" style="28" customWidth="1"/>
    <col min="2550" max="2550" width="12.28515625" style="28" customWidth="1"/>
    <col min="2551" max="2551" width="12" style="28" customWidth="1"/>
    <col min="2552" max="2552" width="13.42578125" style="28" customWidth="1"/>
    <col min="2553" max="2553" width="14.42578125" style="28" customWidth="1"/>
    <col min="2554" max="2554" width="13.7109375" style="28" customWidth="1"/>
    <col min="2555" max="2557" width="14.140625" style="28" customWidth="1"/>
    <col min="2558" max="2558" width="15" style="28" customWidth="1"/>
    <col min="2559" max="2559" width="13.5703125" style="28" customWidth="1"/>
    <col min="2560" max="2560" width="36.85546875" style="28" customWidth="1"/>
    <col min="2561" max="2561" width="37.7109375" style="28" customWidth="1"/>
    <col min="2562" max="2801" width="9.140625" style="28"/>
    <col min="2802" max="2802" width="4.42578125" style="28" customWidth="1"/>
    <col min="2803" max="2803" width="34.5703125" style="28" customWidth="1"/>
    <col min="2804" max="2804" width="7.42578125" style="28" customWidth="1"/>
    <col min="2805" max="2805" width="10" style="28" customWidth="1"/>
    <col min="2806" max="2806" width="12.28515625" style="28" customWidth="1"/>
    <col min="2807" max="2807" width="12" style="28" customWidth="1"/>
    <col min="2808" max="2808" width="13.42578125" style="28" customWidth="1"/>
    <col min="2809" max="2809" width="14.42578125" style="28" customWidth="1"/>
    <col min="2810" max="2810" width="13.7109375" style="28" customWidth="1"/>
    <col min="2811" max="2813" width="14.140625" style="28" customWidth="1"/>
    <col min="2814" max="2814" width="15" style="28" customWidth="1"/>
    <col min="2815" max="2815" width="13.5703125" style="28" customWidth="1"/>
    <col min="2816" max="2816" width="36.85546875" style="28" customWidth="1"/>
    <col min="2817" max="2817" width="37.7109375" style="28" customWidth="1"/>
    <col min="2818" max="3057" width="9.140625" style="28"/>
    <col min="3058" max="3058" width="4.42578125" style="28" customWidth="1"/>
    <col min="3059" max="3059" width="34.5703125" style="28" customWidth="1"/>
    <col min="3060" max="3060" width="7.42578125" style="28" customWidth="1"/>
    <col min="3061" max="3061" width="10" style="28" customWidth="1"/>
    <col min="3062" max="3062" width="12.28515625" style="28" customWidth="1"/>
    <col min="3063" max="3063" width="12" style="28" customWidth="1"/>
    <col min="3064" max="3064" width="13.42578125" style="28" customWidth="1"/>
    <col min="3065" max="3065" width="14.42578125" style="28" customWidth="1"/>
    <col min="3066" max="3066" width="13.7109375" style="28" customWidth="1"/>
    <col min="3067" max="3069" width="14.140625" style="28" customWidth="1"/>
    <col min="3070" max="3070" width="15" style="28" customWidth="1"/>
    <col min="3071" max="3071" width="13.5703125" style="28" customWidth="1"/>
    <col min="3072" max="3072" width="36.85546875" style="28" customWidth="1"/>
    <col min="3073" max="3073" width="37.7109375" style="28" customWidth="1"/>
    <col min="3074" max="3313" width="9.140625" style="28"/>
    <col min="3314" max="3314" width="4.42578125" style="28" customWidth="1"/>
    <col min="3315" max="3315" width="34.5703125" style="28" customWidth="1"/>
    <col min="3316" max="3316" width="7.42578125" style="28" customWidth="1"/>
    <col min="3317" max="3317" width="10" style="28" customWidth="1"/>
    <col min="3318" max="3318" width="12.28515625" style="28" customWidth="1"/>
    <col min="3319" max="3319" width="12" style="28" customWidth="1"/>
    <col min="3320" max="3320" width="13.42578125" style="28" customWidth="1"/>
    <col min="3321" max="3321" width="14.42578125" style="28" customWidth="1"/>
    <col min="3322" max="3322" width="13.7109375" style="28" customWidth="1"/>
    <col min="3323" max="3325" width="14.140625" style="28" customWidth="1"/>
    <col min="3326" max="3326" width="15" style="28" customWidth="1"/>
    <col min="3327" max="3327" width="13.5703125" style="28" customWidth="1"/>
    <col min="3328" max="3328" width="36.85546875" style="28" customWidth="1"/>
    <col min="3329" max="3329" width="37.7109375" style="28" customWidth="1"/>
    <col min="3330" max="3569" width="9.140625" style="28"/>
    <col min="3570" max="3570" width="4.42578125" style="28" customWidth="1"/>
    <col min="3571" max="3571" width="34.5703125" style="28" customWidth="1"/>
    <col min="3572" max="3572" width="7.42578125" style="28" customWidth="1"/>
    <col min="3573" max="3573" width="10" style="28" customWidth="1"/>
    <col min="3574" max="3574" width="12.28515625" style="28" customWidth="1"/>
    <col min="3575" max="3575" width="12" style="28" customWidth="1"/>
    <col min="3576" max="3576" width="13.42578125" style="28" customWidth="1"/>
    <col min="3577" max="3577" width="14.42578125" style="28" customWidth="1"/>
    <col min="3578" max="3578" width="13.7109375" style="28" customWidth="1"/>
    <col min="3579" max="3581" width="14.140625" style="28" customWidth="1"/>
    <col min="3582" max="3582" width="15" style="28" customWidth="1"/>
    <col min="3583" max="3583" width="13.5703125" style="28" customWidth="1"/>
    <col min="3584" max="3584" width="36.85546875" style="28" customWidth="1"/>
    <col min="3585" max="3585" width="37.7109375" style="28" customWidth="1"/>
    <col min="3586" max="3825" width="9.140625" style="28"/>
    <col min="3826" max="3826" width="4.42578125" style="28" customWidth="1"/>
    <col min="3827" max="3827" width="34.5703125" style="28" customWidth="1"/>
    <col min="3828" max="3828" width="7.42578125" style="28" customWidth="1"/>
    <col min="3829" max="3829" width="10" style="28" customWidth="1"/>
    <col min="3830" max="3830" width="12.28515625" style="28" customWidth="1"/>
    <col min="3831" max="3831" width="12" style="28" customWidth="1"/>
    <col min="3832" max="3832" width="13.42578125" style="28" customWidth="1"/>
    <col min="3833" max="3833" width="14.42578125" style="28" customWidth="1"/>
    <col min="3834" max="3834" width="13.7109375" style="28" customWidth="1"/>
    <col min="3835" max="3837" width="14.140625" style="28" customWidth="1"/>
    <col min="3838" max="3838" width="15" style="28" customWidth="1"/>
    <col min="3839" max="3839" width="13.5703125" style="28" customWidth="1"/>
    <col min="3840" max="3840" width="36.85546875" style="28" customWidth="1"/>
    <col min="3841" max="3841" width="37.7109375" style="28" customWidth="1"/>
    <col min="3842" max="4081" width="9.140625" style="28"/>
    <col min="4082" max="4082" width="4.42578125" style="28" customWidth="1"/>
    <col min="4083" max="4083" width="34.5703125" style="28" customWidth="1"/>
    <col min="4084" max="4084" width="7.42578125" style="28" customWidth="1"/>
    <col min="4085" max="4085" width="10" style="28" customWidth="1"/>
    <col min="4086" max="4086" width="12.28515625" style="28" customWidth="1"/>
    <col min="4087" max="4087" width="12" style="28" customWidth="1"/>
    <col min="4088" max="4088" width="13.42578125" style="28" customWidth="1"/>
    <col min="4089" max="4089" width="14.42578125" style="28" customWidth="1"/>
    <col min="4090" max="4090" width="13.7109375" style="28" customWidth="1"/>
    <col min="4091" max="4093" width="14.140625" style="28" customWidth="1"/>
    <col min="4094" max="4094" width="15" style="28" customWidth="1"/>
    <col min="4095" max="4095" width="13.5703125" style="28" customWidth="1"/>
    <col min="4096" max="4096" width="36.85546875" style="28" customWidth="1"/>
    <col min="4097" max="4097" width="37.7109375" style="28" customWidth="1"/>
    <col min="4098" max="4337" width="9.140625" style="28"/>
    <col min="4338" max="4338" width="4.42578125" style="28" customWidth="1"/>
    <col min="4339" max="4339" width="34.5703125" style="28" customWidth="1"/>
    <col min="4340" max="4340" width="7.42578125" style="28" customWidth="1"/>
    <col min="4341" max="4341" width="10" style="28" customWidth="1"/>
    <col min="4342" max="4342" width="12.28515625" style="28" customWidth="1"/>
    <col min="4343" max="4343" width="12" style="28" customWidth="1"/>
    <col min="4344" max="4344" width="13.42578125" style="28" customWidth="1"/>
    <col min="4345" max="4345" width="14.42578125" style="28" customWidth="1"/>
    <col min="4346" max="4346" width="13.7109375" style="28" customWidth="1"/>
    <col min="4347" max="4349" width="14.140625" style="28" customWidth="1"/>
    <col min="4350" max="4350" width="15" style="28" customWidth="1"/>
    <col min="4351" max="4351" width="13.5703125" style="28" customWidth="1"/>
    <col min="4352" max="4352" width="36.85546875" style="28" customWidth="1"/>
    <col min="4353" max="4353" width="37.7109375" style="28" customWidth="1"/>
    <col min="4354" max="4593" width="9.140625" style="28"/>
    <col min="4594" max="4594" width="4.42578125" style="28" customWidth="1"/>
    <col min="4595" max="4595" width="34.5703125" style="28" customWidth="1"/>
    <col min="4596" max="4596" width="7.42578125" style="28" customWidth="1"/>
    <col min="4597" max="4597" width="10" style="28" customWidth="1"/>
    <col min="4598" max="4598" width="12.28515625" style="28" customWidth="1"/>
    <col min="4599" max="4599" width="12" style="28" customWidth="1"/>
    <col min="4600" max="4600" width="13.42578125" style="28" customWidth="1"/>
    <col min="4601" max="4601" width="14.42578125" style="28" customWidth="1"/>
    <col min="4602" max="4602" width="13.7109375" style="28" customWidth="1"/>
    <col min="4603" max="4605" width="14.140625" style="28" customWidth="1"/>
    <col min="4606" max="4606" width="15" style="28" customWidth="1"/>
    <col min="4607" max="4607" width="13.5703125" style="28" customWidth="1"/>
    <col min="4608" max="4608" width="36.85546875" style="28" customWidth="1"/>
    <col min="4609" max="4609" width="37.7109375" style="28" customWidth="1"/>
    <col min="4610" max="4849" width="9.140625" style="28"/>
    <col min="4850" max="4850" width="4.42578125" style="28" customWidth="1"/>
    <col min="4851" max="4851" width="34.5703125" style="28" customWidth="1"/>
    <col min="4852" max="4852" width="7.42578125" style="28" customWidth="1"/>
    <col min="4853" max="4853" width="10" style="28" customWidth="1"/>
    <col min="4854" max="4854" width="12.28515625" style="28" customWidth="1"/>
    <col min="4855" max="4855" width="12" style="28" customWidth="1"/>
    <col min="4856" max="4856" width="13.42578125" style="28" customWidth="1"/>
    <col min="4857" max="4857" width="14.42578125" style="28" customWidth="1"/>
    <col min="4858" max="4858" width="13.7109375" style="28" customWidth="1"/>
    <col min="4859" max="4861" width="14.140625" style="28" customWidth="1"/>
    <col min="4862" max="4862" width="15" style="28" customWidth="1"/>
    <col min="4863" max="4863" width="13.5703125" style="28" customWidth="1"/>
    <col min="4864" max="4864" width="36.85546875" style="28" customWidth="1"/>
    <col min="4865" max="4865" width="37.7109375" style="28" customWidth="1"/>
    <col min="4866" max="5105" width="9.140625" style="28"/>
    <col min="5106" max="5106" width="4.42578125" style="28" customWidth="1"/>
    <col min="5107" max="5107" width="34.5703125" style="28" customWidth="1"/>
    <col min="5108" max="5108" width="7.42578125" style="28" customWidth="1"/>
    <col min="5109" max="5109" width="10" style="28" customWidth="1"/>
    <col min="5110" max="5110" width="12.28515625" style="28" customWidth="1"/>
    <col min="5111" max="5111" width="12" style="28" customWidth="1"/>
    <col min="5112" max="5112" width="13.42578125" style="28" customWidth="1"/>
    <col min="5113" max="5113" width="14.42578125" style="28" customWidth="1"/>
    <col min="5114" max="5114" width="13.7109375" style="28" customWidth="1"/>
    <col min="5115" max="5117" width="14.140625" style="28" customWidth="1"/>
    <col min="5118" max="5118" width="15" style="28" customWidth="1"/>
    <col min="5119" max="5119" width="13.5703125" style="28" customWidth="1"/>
    <col min="5120" max="5120" width="36.85546875" style="28" customWidth="1"/>
    <col min="5121" max="5121" width="37.7109375" style="28" customWidth="1"/>
    <col min="5122" max="5361" width="9.140625" style="28"/>
    <col min="5362" max="5362" width="4.42578125" style="28" customWidth="1"/>
    <col min="5363" max="5363" width="34.5703125" style="28" customWidth="1"/>
    <col min="5364" max="5364" width="7.42578125" style="28" customWidth="1"/>
    <col min="5365" max="5365" width="10" style="28" customWidth="1"/>
    <col min="5366" max="5366" width="12.28515625" style="28" customWidth="1"/>
    <col min="5367" max="5367" width="12" style="28" customWidth="1"/>
    <col min="5368" max="5368" width="13.42578125" style="28" customWidth="1"/>
    <col min="5369" max="5369" width="14.42578125" style="28" customWidth="1"/>
    <col min="5370" max="5370" width="13.7109375" style="28" customWidth="1"/>
    <col min="5371" max="5373" width="14.140625" style="28" customWidth="1"/>
    <col min="5374" max="5374" width="15" style="28" customWidth="1"/>
    <col min="5375" max="5375" width="13.5703125" style="28" customWidth="1"/>
    <col min="5376" max="5376" width="36.85546875" style="28" customWidth="1"/>
    <col min="5377" max="5377" width="37.7109375" style="28" customWidth="1"/>
    <col min="5378" max="5617" width="9.140625" style="28"/>
    <col min="5618" max="5618" width="4.42578125" style="28" customWidth="1"/>
    <col min="5619" max="5619" width="34.5703125" style="28" customWidth="1"/>
    <col min="5620" max="5620" width="7.42578125" style="28" customWidth="1"/>
    <col min="5621" max="5621" width="10" style="28" customWidth="1"/>
    <col min="5622" max="5622" width="12.28515625" style="28" customWidth="1"/>
    <col min="5623" max="5623" width="12" style="28" customWidth="1"/>
    <col min="5624" max="5624" width="13.42578125" style="28" customWidth="1"/>
    <col min="5625" max="5625" width="14.42578125" style="28" customWidth="1"/>
    <col min="5626" max="5626" width="13.7109375" style="28" customWidth="1"/>
    <col min="5627" max="5629" width="14.140625" style="28" customWidth="1"/>
    <col min="5630" max="5630" width="15" style="28" customWidth="1"/>
    <col min="5631" max="5631" width="13.5703125" style="28" customWidth="1"/>
    <col min="5632" max="5632" width="36.85546875" style="28" customWidth="1"/>
    <col min="5633" max="5633" width="37.7109375" style="28" customWidth="1"/>
    <col min="5634" max="5873" width="9.140625" style="28"/>
    <col min="5874" max="5874" width="4.42578125" style="28" customWidth="1"/>
    <col min="5875" max="5875" width="34.5703125" style="28" customWidth="1"/>
    <col min="5876" max="5876" width="7.42578125" style="28" customWidth="1"/>
    <col min="5877" max="5877" width="10" style="28" customWidth="1"/>
    <col min="5878" max="5878" width="12.28515625" style="28" customWidth="1"/>
    <col min="5879" max="5879" width="12" style="28" customWidth="1"/>
    <col min="5880" max="5880" width="13.42578125" style="28" customWidth="1"/>
    <col min="5881" max="5881" width="14.42578125" style="28" customWidth="1"/>
    <col min="5882" max="5882" width="13.7109375" style="28" customWidth="1"/>
    <col min="5883" max="5885" width="14.140625" style="28" customWidth="1"/>
    <col min="5886" max="5886" width="15" style="28" customWidth="1"/>
    <col min="5887" max="5887" width="13.5703125" style="28" customWidth="1"/>
    <col min="5888" max="5888" width="36.85546875" style="28" customWidth="1"/>
    <col min="5889" max="5889" width="37.7109375" style="28" customWidth="1"/>
    <col min="5890" max="6129" width="9.140625" style="28"/>
    <col min="6130" max="6130" width="4.42578125" style="28" customWidth="1"/>
    <col min="6131" max="6131" width="34.5703125" style="28" customWidth="1"/>
    <col min="6132" max="6132" width="7.42578125" style="28" customWidth="1"/>
    <col min="6133" max="6133" width="10" style="28" customWidth="1"/>
    <col min="6134" max="6134" width="12.28515625" style="28" customWidth="1"/>
    <col min="6135" max="6135" width="12" style="28" customWidth="1"/>
    <col min="6136" max="6136" width="13.42578125" style="28" customWidth="1"/>
    <col min="6137" max="6137" width="14.42578125" style="28" customWidth="1"/>
    <col min="6138" max="6138" width="13.7109375" style="28" customWidth="1"/>
    <col min="6139" max="6141" width="14.140625" style="28" customWidth="1"/>
    <col min="6142" max="6142" width="15" style="28" customWidth="1"/>
    <col min="6143" max="6143" width="13.5703125" style="28" customWidth="1"/>
    <col min="6144" max="6144" width="36.85546875" style="28" customWidth="1"/>
    <col min="6145" max="6145" width="37.7109375" style="28" customWidth="1"/>
    <col min="6146" max="6385" width="9.140625" style="28"/>
    <col min="6386" max="6386" width="4.42578125" style="28" customWidth="1"/>
    <col min="6387" max="6387" width="34.5703125" style="28" customWidth="1"/>
    <col min="6388" max="6388" width="7.42578125" style="28" customWidth="1"/>
    <col min="6389" max="6389" width="10" style="28" customWidth="1"/>
    <col min="6390" max="6390" width="12.28515625" style="28" customWidth="1"/>
    <col min="6391" max="6391" width="12" style="28" customWidth="1"/>
    <col min="6392" max="6392" width="13.42578125" style="28" customWidth="1"/>
    <col min="6393" max="6393" width="14.42578125" style="28" customWidth="1"/>
    <col min="6394" max="6394" width="13.7109375" style="28" customWidth="1"/>
    <col min="6395" max="6397" width="14.140625" style="28" customWidth="1"/>
    <col min="6398" max="6398" width="15" style="28" customWidth="1"/>
    <col min="6399" max="6399" width="13.5703125" style="28" customWidth="1"/>
    <col min="6400" max="6400" width="36.85546875" style="28" customWidth="1"/>
    <col min="6401" max="6401" width="37.7109375" style="28" customWidth="1"/>
    <col min="6402" max="6641" width="9.140625" style="28"/>
    <col min="6642" max="6642" width="4.42578125" style="28" customWidth="1"/>
    <col min="6643" max="6643" width="34.5703125" style="28" customWidth="1"/>
    <col min="6644" max="6644" width="7.42578125" style="28" customWidth="1"/>
    <col min="6645" max="6645" width="10" style="28" customWidth="1"/>
    <col min="6646" max="6646" width="12.28515625" style="28" customWidth="1"/>
    <col min="6647" max="6647" width="12" style="28" customWidth="1"/>
    <col min="6648" max="6648" width="13.42578125" style="28" customWidth="1"/>
    <col min="6649" max="6649" width="14.42578125" style="28" customWidth="1"/>
    <col min="6650" max="6650" width="13.7109375" style="28" customWidth="1"/>
    <col min="6651" max="6653" width="14.140625" style="28" customWidth="1"/>
    <col min="6654" max="6654" width="15" style="28" customWidth="1"/>
    <col min="6655" max="6655" width="13.5703125" style="28" customWidth="1"/>
    <col min="6656" max="6656" width="36.85546875" style="28" customWidth="1"/>
    <col min="6657" max="6657" width="37.7109375" style="28" customWidth="1"/>
    <col min="6658" max="6897" width="9.140625" style="28"/>
    <col min="6898" max="6898" width="4.42578125" style="28" customWidth="1"/>
    <col min="6899" max="6899" width="34.5703125" style="28" customWidth="1"/>
    <col min="6900" max="6900" width="7.42578125" style="28" customWidth="1"/>
    <col min="6901" max="6901" width="10" style="28" customWidth="1"/>
    <col min="6902" max="6902" width="12.28515625" style="28" customWidth="1"/>
    <col min="6903" max="6903" width="12" style="28" customWidth="1"/>
    <col min="6904" max="6904" width="13.42578125" style="28" customWidth="1"/>
    <col min="6905" max="6905" width="14.42578125" style="28" customWidth="1"/>
    <col min="6906" max="6906" width="13.7109375" style="28" customWidth="1"/>
    <col min="6907" max="6909" width="14.140625" style="28" customWidth="1"/>
    <col min="6910" max="6910" width="15" style="28" customWidth="1"/>
    <col min="6911" max="6911" width="13.5703125" style="28" customWidth="1"/>
    <col min="6912" max="6912" width="36.85546875" style="28" customWidth="1"/>
    <col min="6913" max="6913" width="37.7109375" style="28" customWidth="1"/>
    <col min="6914" max="7153" width="9.140625" style="28"/>
    <col min="7154" max="7154" width="4.42578125" style="28" customWidth="1"/>
    <col min="7155" max="7155" width="34.5703125" style="28" customWidth="1"/>
    <col min="7156" max="7156" width="7.42578125" style="28" customWidth="1"/>
    <col min="7157" max="7157" width="10" style="28" customWidth="1"/>
    <col min="7158" max="7158" width="12.28515625" style="28" customWidth="1"/>
    <col min="7159" max="7159" width="12" style="28" customWidth="1"/>
    <col min="7160" max="7160" width="13.42578125" style="28" customWidth="1"/>
    <col min="7161" max="7161" width="14.42578125" style="28" customWidth="1"/>
    <col min="7162" max="7162" width="13.7109375" style="28" customWidth="1"/>
    <col min="7163" max="7165" width="14.140625" style="28" customWidth="1"/>
    <col min="7166" max="7166" width="15" style="28" customWidth="1"/>
    <col min="7167" max="7167" width="13.5703125" style="28" customWidth="1"/>
    <col min="7168" max="7168" width="36.85546875" style="28" customWidth="1"/>
    <col min="7169" max="7169" width="37.7109375" style="28" customWidth="1"/>
    <col min="7170" max="7409" width="9.140625" style="28"/>
    <col min="7410" max="7410" width="4.42578125" style="28" customWidth="1"/>
    <col min="7411" max="7411" width="34.5703125" style="28" customWidth="1"/>
    <col min="7412" max="7412" width="7.42578125" style="28" customWidth="1"/>
    <col min="7413" max="7413" width="10" style="28" customWidth="1"/>
    <col min="7414" max="7414" width="12.28515625" style="28" customWidth="1"/>
    <col min="7415" max="7415" width="12" style="28" customWidth="1"/>
    <col min="7416" max="7416" width="13.42578125" style="28" customWidth="1"/>
    <col min="7417" max="7417" width="14.42578125" style="28" customWidth="1"/>
    <col min="7418" max="7418" width="13.7109375" style="28" customWidth="1"/>
    <col min="7419" max="7421" width="14.140625" style="28" customWidth="1"/>
    <col min="7422" max="7422" width="15" style="28" customWidth="1"/>
    <col min="7423" max="7423" width="13.5703125" style="28" customWidth="1"/>
    <col min="7424" max="7424" width="36.85546875" style="28" customWidth="1"/>
    <col min="7425" max="7425" width="37.7109375" style="28" customWidth="1"/>
    <col min="7426" max="7665" width="9.140625" style="28"/>
    <col min="7666" max="7666" width="4.42578125" style="28" customWidth="1"/>
    <col min="7667" max="7667" width="34.5703125" style="28" customWidth="1"/>
    <col min="7668" max="7668" width="7.42578125" style="28" customWidth="1"/>
    <col min="7669" max="7669" width="10" style="28" customWidth="1"/>
    <col min="7670" max="7670" width="12.28515625" style="28" customWidth="1"/>
    <col min="7671" max="7671" width="12" style="28" customWidth="1"/>
    <col min="7672" max="7672" width="13.42578125" style="28" customWidth="1"/>
    <col min="7673" max="7673" width="14.42578125" style="28" customWidth="1"/>
    <col min="7674" max="7674" width="13.7109375" style="28" customWidth="1"/>
    <col min="7675" max="7677" width="14.140625" style="28" customWidth="1"/>
    <col min="7678" max="7678" width="15" style="28" customWidth="1"/>
    <col min="7679" max="7679" width="13.5703125" style="28" customWidth="1"/>
    <col min="7680" max="7680" width="36.85546875" style="28" customWidth="1"/>
    <col min="7681" max="7681" width="37.7109375" style="28" customWidth="1"/>
    <col min="7682" max="7921" width="9.140625" style="28"/>
    <col min="7922" max="7922" width="4.42578125" style="28" customWidth="1"/>
    <col min="7923" max="7923" width="34.5703125" style="28" customWidth="1"/>
    <col min="7924" max="7924" width="7.42578125" style="28" customWidth="1"/>
    <col min="7925" max="7925" width="10" style="28" customWidth="1"/>
    <col min="7926" max="7926" width="12.28515625" style="28" customWidth="1"/>
    <col min="7927" max="7927" width="12" style="28" customWidth="1"/>
    <col min="7928" max="7928" width="13.42578125" style="28" customWidth="1"/>
    <col min="7929" max="7929" width="14.42578125" style="28" customWidth="1"/>
    <col min="7930" max="7930" width="13.7109375" style="28" customWidth="1"/>
    <col min="7931" max="7933" width="14.140625" style="28" customWidth="1"/>
    <col min="7934" max="7934" width="15" style="28" customWidth="1"/>
    <col min="7935" max="7935" width="13.5703125" style="28" customWidth="1"/>
    <col min="7936" max="7936" width="36.85546875" style="28" customWidth="1"/>
    <col min="7937" max="7937" width="37.7109375" style="28" customWidth="1"/>
    <col min="7938" max="8177" width="9.140625" style="28"/>
    <col min="8178" max="8178" width="4.42578125" style="28" customWidth="1"/>
    <col min="8179" max="8179" width="34.5703125" style="28" customWidth="1"/>
    <col min="8180" max="8180" width="7.42578125" style="28" customWidth="1"/>
    <col min="8181" max="8181" width="10" style="28" customWidth="1"/>
    <col min="8182" max="8182" width="12.28515625" style="28" customWidth="1"/>
    <col min="8183" max="8183" width="12" style="28" customWidth="1"/>
    <col min="8184" max="8184" width="13.42578125" style="28" customWidth="1"/>
    <col min="8185" max="8185" width="14.42578125" style="28" customWidth="1"/>
    <col min="8186" max="8186" width="13.7109375" style="28" customWidth="1"/>
    <col min="8187" max="8189" width="14.140625" style="28" customWidth="1"/>
    <col min="8190" max="8190" width="15" style="28" customWidth="1"/>
    <col min="8191" max="8191" width="13.5703125" style="28" customWidth="1"/>
    <col min="8192" max="8192" width="36.85546875" style="28" customWidth="1"/>
    <col min="8193" max="8193" width="37.7109375" style="28" customWidth="1"/>
    <col min="8194" max="8433" width="9.140625" style="28"/>
    <col min="8434" max="8434" width="4.42578125" style="28" customWidth="1"/>
    <col min="8435" max="8435" width="34.5703125" style="28" customWidth="1"/>
    <col min="8436" max="8436" width="7.42578125" style="28" customWidth="1"/>
    <col min="8437" max="8437" width="10" style="28" customWidth="1"/>
    <col min="8438" max="8438" width="12.28515625" style="28" customWidth="1"/>
    <col min="8439" max="8439" width="12" style="28" customWidth="1"/>
    <col min="8440" max="8440" width="13.42578125" style="28" customWidth="1"/>
    <col min="8441" max="8441" width="14.42578125" style="28" customWidth="1"/>
    <col min="8442" max="8442" width="13.7109375" style="28" customWidth="1"/>
    <col min="8443" max="8445" width="14.140625" style="28" customWidth="1"/>
    <col min="8446" max="8446" width="15" style="28" customWidth="1"/>
    <col min="8447" max="8447" width="13.5703125" style="28" customWidth="1"/>
    <col min="8448" max="8448" width="36.85546875" style="28" customWidth="1"/>
    <col min="8449" max="8449" width="37.7109375" style="28" customWidth="1"/>
    <col min="8450" max="8689" width="9.140625" style="28"/>
    <col min="8690" max="8690" width="4.42578125" style="28" customWidth="1"/>
    <col min="8691" max="8691" width="34.5703125" style="28" customWidth="1"/>
    <col min="8692" max="8692" width="7.42578125" style="28" customWidth="1"/>
    <col min="8693" max="8693" width="10" style="28" customWidth="1"/>
    <col min="8694" max="8694" width="12.28515625" style="28" customWidth="1"/>
    <col min="8695" max="8695" width="12" style="28" customWidth="1"/>
    <col min="8696" max="8696" width="13.42578125" style="28" customWidth="1"/>
    <col min="8697" max="8697" width="14.42578125" style="28" customWidth="1"/>
    <col min="8698" max="8698" width="13.7109375" style="28" customWidth="1"/>
    <col min="8699" max="8701" width="14.140625" style="28" customWidth="1"/>
    <col min="8702" max="8702" width="15" style="28" customWidth="1"/>
    <col min="8703" max="8703" width="13.5703125" style="28" customWidth="1"/>
    <col min="8704" max="8704" width="36.85546875" style="28" customWidth="1"/>
    <col min="8705" max="8705" width="37.7109375" style="28" customWidth="1"/>
    <col min="8706" max="8945" width="9.140625" style="28"/>
    <col min="8946" max="8946" width="4.42578125" style="28" customWidth="1"/>
    <col min="8947" max="8947" width="34.5703125" style="28" customWidth="1"/>
    <col min="8948" max="8948" width="7.42578125" style="28" customWidth="1"/>
    <col min="8949" max="8949" width="10" style="28" customWidth="1"/>
    <col min="8950" max="8950" width="12.28515625" style="28" customWidth="1"/>
    <col min="8951" max="8951" width="12" style="28" customWidth="1"/>
    <col min="8952" max="8952" width="13.42578125" style="28" customWidth="1"/>
    <col min="8953" max="8953" width="14.42578125" style="28" customWidth="1"/>
    <col min="8954" max="8954" width="13.7109375" style="28" customWidth="1"/>
    <col min="8955" max="8957" width="14.140625" style="28" customWidth="1"/>
    <col min="8958" max="8958" width="15" style="28" customWidth="1"/>
    <col min="8959" max="8959" width="13.5703125" style="28" customWidth="1"/>
    <col min="8960" max="8960" width="36.85546875" style="28" customWidth="1"/>
    <col min="8961" max="8961" width="37.7109375" style="28" customWidth="1"/>
    <col min="8962" max="9201" width="9.140625" style="28"/>
    <col min="9202" max="9202" width="4.42578125" style="28" customWidth="1"/>
    <col min="9203" max="9203" width="34.5703125" style="28" customWidth="1"/>
    <col min="9204" max="9204" width="7.42578125" style="28" customWidth="1"/>
    <col min="9205" max="9205" width="10" style="28" customWidth="1"/>
    <col min="9206" max="9206" width="12.28515625" style="28" customWidth="1"/>
    <col min="9207" max="9207" width="12" style="28" customWidth="1"/>
    <col min="9208" max="9208" width="13.42578125" style="28" customWidth="1"/>
    <col min="9209" max="9209" width="14.42578125" style="28" customWidth="1"/>
    <col min="9210" max="9210" width="13.7109375" style="28" customWidth="1"/>
    <col min="9211" max="9213" width="14.140625" style="28" customWidth="1"/>
    <col min="9214" max="9214" width="15" style="28" customWidth="1"/>
    <col min="9215" max="9215" width="13.5703125" style="28" customWidth="1"/>
    <col min="9216" max="9216" width="36.85546875" style="28" customWidth="1"/>
    <col min="9217" max="9217" width="37.7109375" style="28" customWidth="1"/>
    <col min="9218" max="9457" width="9.140625" style="28"/>
    <col min="9458" max="9458" width="4.42578125" style="28" customWidth="1"/>
    <col min="9459" max="9459" width="34.5703125" style="28" customWidth="1"/>
    <col min="9460" max="9460" width="7.42578125" style="28" customWidth="1"/>
    <col min="9461" max="9461" width="10" style="28" customWidth="1"/>
    <col min="9462" max="9462" width="12.28515625" style="28" customWidth="1"/>
    <col min="9463" max="9463" width="12" style="28" customWidth="1"/>
    <col min="9464" max="9464" width="13.42578125" style="28" customWidth="1"/>
    <col min="9465" max="9465" width="14.42578125" style="28" customWidth="1"/>
    <col min="9466" max="9466" width="13.7109375" style="28" customWidth="1"/>
    <col min="9467" max="9469" width="14.140625" style="28" customWidth="1"/>
    <col min="9470" max="9470" width="15" style="28" customWidth="1"/>
    <col min="9471" max="9471" width="13.5703125" style="28" customWidth="1"/>
    <col min="9472" max="9472" width="36.85546875" style="28" customWidth="1"/>
    <col min="9473" max="9473" width="37.7109375" style="28" customWidth="1"/>
    <col min="9474" max="9713" width="9.140625" style="28"/>
    <col min="9714" max="9714" width="4.42578125" style="28" customWidth="1"/>
    <col min="9715" max="9715" width="34.5703125" style="28" customWidth="1"/>
    <col min="9716" max="9716" width="7.42578125" style="28" customWidth="1"/>
    <col min="9717" max="9717" width="10" style="28" customWidth="1"/>
    <col min="9718" max="9718" width="12.28515625" style="28" customWidth="1"/>
    <col min="9719" max="9719" width="12" style="28" customWidth="1"/>
    <col min="9720" max="9720" width="13.42578125" style="28" customWidth="1"/>
    <col min="9721" max="9721" width="14.42578125" style="28" customWidth="1"/>
    <col min="9722" max="9722" width="13.7109375" style="28" customWidth="1"/>
    <col min="9723" max="9725" width="14.140625" style="28" customWidth="1"/>
    <col min="9726" max="9726" width="15" style="28" customWidth="1"/>
    <col min="9727" max="9727" width="13.5703125" style="28" customWidth="1"/>
    <col min="9728" max="9728" width="36.85546875" style="28" customWidth="1"/>
    <col min="9729" max="9729" width="37.7109375" style="28" customWidth="1"/>
    <col min="9730" max="9969" width="9.140625" style="28"/>
    <col min="9970" max="9970" width="4.42578125" style="28" customWidth="1"/>
    <col min="9971" max="9971" width="34.5703125" style="28" customWidth="1"/>
    <col min="9972" max="9972" width="7.42578125" style="28" customWidth="1"/>
    <col min="9973" max="9973" width="10" style="28" customWidth="1"/>
    <col min="9974" max="9974" width="12.28515625" style="28" customWidth="1"/>
    <col min="9975" max="9975" width="12" style="28" customWidth="1"/>
    <col min="9976" max="9976" width="13.42578125" style="28" customWidth="1"/>
    <col min="9977" max="9977" width="14.42578125" style="28" customWidth="1"/>
    <col min="9978" max="9978" width="13.7109375" style="28" customWidth="1"/>
    <col min="9979" max="9981" width="14.140625" style="28" customWidth="1"/>
    <col min="9982" max="9982" width="15" style="28" customWidth="1"/>
    <col min="9983" max="9983" width="13.5703125" style="28" customWidth="1"/>
    <col min="9984" max="9984" width="36.85546875" style="28" customWidth="1"/>
    <col min="9985" max="9985" width="37.7109375" style="28" customWidth="1"/>
    <col min="9986" max="10225" width="9.140625" style="28"/>
    <col min="10226" max="10226" width="4.42578125" style="28" customWidth="1"/>
    <col min="10227" max="10227" width="34.5703125" style="28" customWidth="1"/>
    <col min="10228" max="10228" width="7.42578125" style="28" customWidth="1"/>
    <col min="10229" max="10229" width="10" style="28" customWidth="1"/>
    <col min="10230" max="10230" width="12.28515625" style="28" customWidth="1"/>
    <col min="10231" max="10231" width="12" style="28" customWidth="1"/>
    <col min="10232" max="10232" width="13.42578125" style="28" customWidth="1"/>
    <col min="10233" max="10233" width="14.42578125" style="28" customWidth="1"/>
    <col min="10234" max="10234" width="13.7109375" style="28" customWidth="1"/>
    <col min="10235" max="10237" width="14.140625" style="28" customWidth="1"/>
    <col min="10238" max="10238" width="15" style="28" customWidth="1"/>
    <col min="10239" max="10239" width="13.5703125" style="28" customWidth="1"/>
    <col min="10240" max="10240" width="36.85546875" style="28" customWidth="1"/>
    <col min="10241" max="10241" width="37.7109375" style="28" customWidth="1"/>
    <col min="10242" max="10481" width="9.140625" style="28"/>
    <col min="10482" max="10482" width="4.42578125" style="28" customWidth="1"/>
    <col min="10483" max="10483" width="34.5703125" style="28" customWidth="1"/>
    <col min="10484" max="10484" width="7.42578125" style="28" customWidth="1"/>
    <col min="10485" max="10485" width="10" style="28" customWidth="1"/>
    <col min="10486" max="10486" width="12.28515625" style="28" customWidth="1"/>
    <col min="10487" max="10487" width="12" style="28" customWidth="1"/>
    <col min="10488" max="10488" width="13.42578125" style="28" customWidth="1"/>
    <col min="10489" max="10489" width="14.42578125" style="28" customWidth="1"/>
    <col min="10490" max="10490" width="13.7109375" style="28" customWidth="1"/>
    <col min="10491" max="10493" width="14.140625" style="28" customWidth="1"/>
    <col min="10494" max="10494" width="15" style="28" customWidth="1"/>
    <col min="10495" max="10495" width="13.5703125" style="28" customWidth="1"/>
    <col min="10496" max="10496" width="36.85546875" style="28" customWidth="1"/>
    <col min="10497" max="10497" width="37.7109375" style="28" customWidth="1"/>
    <col min="10498" max="10737" width="9.140625" style="28"/>
    <col min="10738" max="10738" width="4.42578125" style="28" customWidth="1"/>
    <col min="10739" max="10739" width="34.5703125" style="28" customWidth="1"/>
    <col min="10740" max="10740" width="7.42578125" style="28" customWidth="1"/>
    <col min="10741" max="10741" width="10" style="28" customWidth="1"/>
    <col min="10742" max="10742" width="12.28515625" style="28" customWidth="1"/>
    <col min="10743" max="10743" width="12" style="28" customWidth="1"/>
    <col min="10744" max="10744" width="13.42578125" style="28" customWidth="1"/>
    <col min="10745" max="10745" width="14.42578125" style="28" customWidth="1"/>
    <col min="10746" max="10746" width="13.7109375" style="28" customWidth="1"/>
    <col min="10747" max="10749" width="14.140625" style="28" customWidth="1"/>
    <col min="10750" max="10750" width="15" style="28" customWidth="1"/>
    <col min="10751" max="10751" width="13.5703125" style="28" customWidth="1"/>
    <col min="10752" max="10752" width="36.85546875" style="28" customWidth="1"/>
    <col min="10753" max="10753" width="37.7109375" style="28" customWidth="1"/>
    <col min="10754" max="10993" width="9.140625" style="28"/>
    <col min="10994" max="10994" width="4.42578125" style="28" customWidth="1"/>
    <col min="10995" max="10995" width="34.5703125" style="28" customWidth="1"/>
    <col min="10996" max="10996" width="7.42578125" style="28" customWidth="1"/>
    <col min="10997" max="10997" width="10" style="28" customWidth="1"/>
    <col min="10998" max="10998" width="12.28515625" style="28" customWidth="1"/>
    <col min="10999" max="10999" width="12" style="28" customWidth="1"/>
    <col min="11000" max="11000" width="13.42578125" style="28" customWidth="1"/>
    <col min="11001" max="11001" width="14.42578125" style="28" customWidth="1"/>
    <col min="11002" max="11002" width="13.7109375" style="28" customWidth="1"/>
    <col min="11003" max="11005" width="14.140625" style="28" customWidth="1"/>
    <col min="11006" max="11006" width="15" style="28" customWidth="1"/>
    <col min="11007" max="11007" width="13.5703125" style="28" customWidth="1"/>
    <col min="11008" max="11008" width="36.85546875" style="28" customWidth="1"/>
    <col min="11009" max="11009" width="37.7109375" style="28" customWidth="1"/>
    <col min="11010" max="11249" width="9.140625" style="28"/>
    <col min="11250" max="11250" width="4.42578125" style="28" customWidth="1"/>
    <col min="11251" max="11251" width="34.5703125" style="28" customWidth="1"/>
    <col min="11252" max="11252" width="7.42578125" style="28" customWidth="1"/>
    <col min="11253" max="11253" width="10" style="28" customWidth="1"/>
    <col min="11254" max="11254" width="12.28515625" style="28" customWidth="1"/>
    <col min="11255" max="11255" width="12" style="28" customWidth="1"/>
    <col min="11256" max="11256" width="13.42578125" style="28" customWidth="1"/>
    <col min="11257" max="11257" width="14.42578125" style="28" customWidth="1"/>
    <col min="11258" max="11258" width="13.7109375" style="28" customWidth="1"/>
    <col min="11259" max="11261" width="14.140625" style="28" customWidth="1"/>
    <col min="11262" max="11262" width="15" style="28" customWidth="1"/>
    <col min="11263" max="11263" width="13.5703125" style="28" customWidth="1"/>
    <col min="11264" max="11264" width="36.85546875" style="28" customWidth="1"/>
    <col min="11265" max="11265" width="37.7109375" style="28" customWidth="1"/>
    <col min="11266" max="11505" width="9.140625" style="28"/>
    <col min="11506" max="11506" width="4.42578125" style="28" customWidth="1"/>
    <col min="11507" max="11507" width="34.5703125" style="28" customWidth="1"/>
    <col min="11508" max="11508" width="7.42578125" style="28" customWidth="1"/>
    <col min="11509" max="11509" width="10" style="28" customWidth="1"/>
    <col min="11510" max="11510" width="12.28515625" style="28" customWidth="1"/>
    <col min="11511" max="11511" width="12" style="28" customWidth="1"/>
    <col min="11512" max="11512" width="13.42578125" style="28" customWidth="1"/>
    <col min="11513" max="11513" width="14.42578125" style="28" customWidth="1"/>
    <col min="11514" max="11514" width="13.7109375" style="28" customWidth="1"/>
    <col min="11515" max="11517" width="14.140625" style="28" customWidth="1"/>
    <col min="11518" max="11518" width="15" style="28" customWidth="1"/>
    <col min="11519" max="11519" width="13.5703125" style="28" customWidth="1"/>
    <col min="11520" max="11520" width="36.85546875" style="28" customWidth="1"/>
    <col min="11521" max="11521" width="37.7109375" style="28" customWidth="1"/>
    <col min="11522" max="11761" width="9.140625" style="28"/>
    <col min="11762" max="11762" width="4.42578125" style="28" customWidth="1"/>
    <col min="11763" max="11763" width="34.5703125" style="28" customWidth="1"/>
    <col min="11764" max="11764" width="7.42578125" style="28" customWidth="1"/>
    <col min="11765" max="11765" width="10" style="28" customWidth="1"/>
    <col min="11766" max="11766" width="12.28515625" style="28" customWidth="1"/>
    <col min="11767" max="11767" width="12" style="28" customWidth="1"/>
    <col min="11768" max="11768" width="13.42578125" style="28" customWidth="1"/>
    <col min="11769" max="11769" width="14.42578125" style="28" customWidth="1"/>
    <col min="11770" max="11770" width="13.7109375" style="28" customWidth="1"/>
    <col min="11771" max="11773" width="14.140625" style="28" customWidth="1"/>
    <col min="11774" max="11774" width="15" style="28" customWidth="1"/>
    <col min="11775" max="11775" width="13.5703125" style="28" customWidth="1"/>
    <col min="11776" max="11776" width="36.85546875" style="28" customWidth="1"/>
    <col min="11777" max="11777" width="37.7109375" style="28" customWidth="1"/>
    <col min="11778" max="12017" width="9.140625" style="28"/>
    <col min="12018" max="12018" width="4.42578125" style="28" customWidth="1"/>
    <col min="12019" max="12019" width="34.5703125" style="28" customWidth="1"/>
    <col min="12020" max="12020" width="7.42578125" style="28" customWidth="1"/>
    <col min="12021" max="12021" width="10" style="28" customWidth="1"/>
    <col min="12022" max="12022" width="12.28515625" style="28" customWidth="1"/>
    <col min="12023" max="12023" width="12" style="28" customWidth="1"/>
    <col min="12024" max="12024" width="13.42578125" style="28" customWidth="1"/>
    <col min="12025" max="12025" width="14.42578125" style="28" customWidth="1"/>
    <col min="12026" max="12026" width="13.7109375" style="28" customWidth="1"/>
    <col min="12027" max="12029" width="14.140625" style="28" customWidth="1"/>
    <col min="12030" max="12030" width="15" style="28" customWidth="1"/>
    <col min="12031" max="12031" width="13.5703125" style="28" customWidth="1"/>
    <col min="12032" max="12032" width="36.85546875" style="28" customWidth="1"/>
    <col min="12033" max="12033" width="37.7109375" style="28" customWidth="1"/>
    <col min="12034" max="12273" width="9.140625" style="28"/>
    <col min="12274" max="12274" width="4.42578125" style="28" customWidth="1"/>
    <col min="12275" max="12275" width="34.5703125" style="28" customWidth="1"/>
    <col min="12276" max="12276" width="7.42578125" style="28" customWidth="1"/>
    <col min="12277" max="12277" width="10" style="28" customWidth="1"/>
    <col min="12278" max="12278" width="12.28515625" style="28" customWidth="1"/>
    <col min="12279" max="12279" width="12" style="28" customWidth="1"/>
    <col min="12280" max="12280" width="13.42578125" style="28" customWidth="1"/>
    <col min="12281" max="12281" width="14.42578125" style="28" customWidth="1"/>
    <col min="12282" max="12282" width="13.7109375" style="28" customWidth="1"/>
    <col min="12283" max="12285" width="14.140625" style="28" customWidth="1"/>
    <col min="12286" max="12286" width="15" style="28" customWidth="1"/>
    <col min="12287" max="12287" width="13.5703125" style="28" customWidth="1"/>
    <col min="12288" max="12288" width="36.85546875" style="28" customWidth="1"/>
    <col min="12289" max="12289" width="37.7109375" style="28" customWidth="1"/>
    <col min="12290" max="12529" width="9.140625" style="28"/>
    <col min="12530" max="12530" width="4.42578125" style="28" customWidth="1"/>
    <col min="12531" max="12531" width="34.5703125" style="28" customWidth="1"/>
    <col min="12532" max="12532" width="7.42578125" style="28" customWidth="1"/>
    <col min="12533" max="12533" width="10" style="28" customWidth="1"/>
    <col min="12534" max="12534" width="12.28515625" style="28" customWidth="1"/>
    <col min="12535" max="12535" width="12" style="28" customWidth="1"/>
    <col min="12536" max="12536" width="13.42578125" style="28" customWidth="1"/>
    <col min="12537" max="12537" width="14.42578125" style="28" customWidth="1"/>
    <col min="12538" max="12538" width="13.7109375" style="28" customWidth="1"/>
    <col min="12539" max="12541" width="14.140625" style="28" customWidth="1"/>
    <col min="12542" max="12542" width="15" style="28" customWidth="1"/>
    <col min="12543" max="12543" width="13.5703125" style="28" customWidth="1"/>
    <col min="12544" max="12544" width="36.85546875" style="28" customWidth="1"/>
    <col min="12545" max="12545" width="37.7109375" style="28" customWidth="1"/>
    <col min="12546" max="12785" width="9.140625" style="28"/>
    <col min="12786" max="12786" width="4.42578125" style="28" customWidth="1"/>
    <col min="12787" max="12787" width="34.5703125" style="28" customWidth="1"/>
    <col min="12788" max="12788" width="7.42578125" style="28" customWidth="1"/>
    <col min="12789" max="12789" width="10" style="28" customWidth="1"/>
    <col min="12790" max="12790" width="12.28515625" style="28" customWidth="1"/>
    <col min="12791" max="12791" width="12" style="28" customWidth="1"/>
    <col min="12792" max="12792" width="13.42578125" style="28" customWidth="1"/>
    <col min="12793" max="12793" width="14.42578125" style="28" customWidth="1"/>
    <col min="12794" max="12794" width="13.7109375" style="28" customWidth="1"/>
    <col min="12795" max="12797" width="14.140625" style="28" customWidth="1"/>
    <col min="12798" max="12798" width="15" style="28" customWidth="1"/>
    <col min="12799" max="12799" width="13.5703125" style="28" customWidth="1"/>
    <col min="12800" max="12800" width="36.85546875" style="28" customWidth="1"/>
    <col min="12801" max="12801" width="37.7109375" style="28" customWidth="1"/>
    <col min="12802" max="13041" width="9.140625" style="28"/>
    <col min="13042" max="13042" width="4.42578125" style="28" customWidth="1"/>
    <col min="13043" max="13043" width="34.5703125" style="28" customWidth="1"/>
    <col min="13044" max="13044" width="7.42578125" style="28" customWidth="1"/>
    <col min="13045" max="13045" width="10" style="28" customWidth="1"/>
    <col min="13046" max="13046" width="12.28515625" style="28" customWidth="1"/>
    <col min="13047" max="13047" width="12" style="28" customWidth="1"/>
    <col min="13048" max="13048" width="13.42578125" style="28" customWidth="1"/>
    <col min="13049" max="13049" width="14.42578125" style="28" customWidth="1"/>
    <col min="13050" max="13050" width="13.7109375" style="28" customWidth="1"/>
    <col min="13051" max="13053" width="14.140625" style="28" customWidth="1"/>
    <col min="13054" max="13054" width="15" style="28" customWidth="1"/>
    <col min="13055" max="13055" width="13.5703125" style="28" customWidth="1"/>
    <col min="13056" max="13056" width="36.85546875" style="28" customWidth="1"/>
    <col min="13057" max="13057" width="37.7109375" style="28" customWidth="1"/>
    <col min="13058" max="13297" width="9.140625" style="28"/>
    <col min="13298" max="13298" width="4.42578125" style="28" customWidth="1"/>
    <col min="13299" max="13299" width="34.5703125" style="28" customWidth="1"/>
    <col min="13300" max="13300" width="7.42578125" style="28" customWidth="1"/>
    <col min="13301" max="13301" width="10" style="28" customWidth="1"/>
    <col min="13302" max="13302" width="12.28515625" style="28" customWidth="1"/>
    <col min="13303" max="13303" width="12" style="28" customWidth="1"/>
    <col min="13304" max="13304" width="13.42578125" style="28" customWidth="1"/>
    <col min="13305" max="13305" width="14.42578125" style="28" customWidth="1"/>
    <col min="13306" max="13306" width="13.7109375" style="28" customWidth="1"/>
    <col min="13307" max="13309" width="14.140625" style="28" customWidth="1"/>
    <col min="13310" max="13310" width="15" style="28" customWidth="1"/>
    <col min="13311" max="13311" width="13.5703125" style="28" customWidth="1"/>
    <col min="13312" max="13312" width="36.85546875" style="28" customWidth="1"/>
    <col min="13313" max="13313" width="37.7109375" style="28" customWidth="1"/>
    <col min="13314" max="13553" width="9.140625" style="28"/>
    <col min="13554" max="13554" width="4.42578125" style="28" customWidth="1"/>
    <col min="13555" max="13555" width="34.5703125" style="28" customWidth="1"/>
    <col min="13556" max="13556" width="7.42578125" style="28" customWidth="1"/>
    <col min="13557" max="13557" width="10" style="28" customWidth="1"/>
    <col min="13558" max="13558" width="12.28515625" style="28" customWidth="1"/>
    <col min="13559" max="13559" width="12" style="28" customWidth="1"/>
    <col min="13560" max="13560" width="13.42578125" style="28" customWidth="1"/>
    <col min="13561" max="13561" width="14.42578125" style="28" customWidth="1"/>
    <col min="13562" max="13562" width="13.7109375" style="28" customWidth="1"/>
    <col min="13563" max="13565" width="14.140625" style="28" customWidth="1"/>
    <col min="13566" max="13566" width="15" style="28" customWidth="1"/>
    <col min="13567" max="13567" width="13.5703125" style="28" customWidth="1"/>
    <col min="13568" max="13568" width="36.85546875" style="28" customWidth="1"/>
    <col min="13569" max="13569" width="37.7109375" style="28" customWidth="1"/>
    <col min="13570" max="13809" width="9.140625" style="28"/>
    <col min="13810" max="13810" width="4.42578125" style="28" customWidth="1"/>
    <col min="13811" max="13811" width="34.5703125" style="28" customWidth="1"/>
    <col min="13812" max="13812" width="7.42578125" style="28" customWidth="1"/>
    <col min="13813" max="13813" width="10" style="28" customWidth="1"/>
    <col min="13814" max="13814" width="12.28515625" style="28" customWidth="1"/>
    <col min="13815" max="13815" width="12" style="28" customWidth="1"/>
    <col min="13816" max="13816" width="13.42578125" style="28" customWidth="1"/>
    <col min="13817" max="13817" width="14.42578125" style="28" customWidth="1"/>
    <col min="13818" max="13818" width="13.7109375" style="28" customWidth="1"/>
    <col min="13819" max="13821" width="14.140625" style="28" customWidth="1"/>
    <col min="13822" max="13822" width="15" style="28" customWidth="1"/>
    <col min="13823" max="13823" width="13.5703125" style="28" customWidth="1"/>
    <col min="13824" max="13824" width="36.85546875" style="28" customWidth="1"/>
    <col min="13825" max="13825" width="37.7109375" style="28" customWidth="1"/>
    <col min="13826" max="14065" width="9.140625" style="28"/>
    <col min="14066" max="14066" width="4.42578125" style="28" customWidth="1"/>
    <col min="14067" max="14067" width="34.5703125" style="28" customWidth="1"/>
    <col min="14068" max="14068" width="7.42578125" style="28" customWidth="1"/>
    <col min="14069" max="14069" width="10" style="28" customWidth="1"/>
    <col min="14070" max="14070" width="12.28515625" style="28" customWidth="1"/>
    <col min="14071" max="14071" width="12" style="28" customWidth="1"/>
    <col min="14072" max="14072" width="13.42578125" style="28" customWidth="1"/>
    <col min="14073" max="14073" width="14.42578125" style="28" customWidth="1"/>
    <col min="14074" max="14074" width="13.7109375" style="28" customWidth="1"/>
    <col min="14075" max="14077" width="14.140625" style="28" customWidth="1"/>
    <col min="14078" max="14078" width="15" style="28" customWidth="1"/>
    <col min="14079" max="14079" width="13.5703125" style="28" customWidth="1"/>
    <col min="14080" max="14080" width="36.85546875" style="28" customWidth="1"/>
    <col min="14081" max="14081" width="37.7109375" style="28" customWidth="1"/>
    <col min="14082" max="14321" width="9.140625" style="28"/>
    <col min="14322" max="14322" width="4.42578125" style="28" customWidth="1"/>
    <col min="14323" max="14323" width="34.5703125" style="28" customWidth="1"/>
    <col min="14324" max="14324" width="7.42578125" style="28" customWidth="1"/>
    <col min="14325" max="14325" width="10" style="28" customWidth="1"/>
    <col min="14326" max="14326" width="12.28515625" style="28" customWidth="1"/>
    <col min="14327" max="14327" width="12" style="28" customWidth="1"/>
    <col min="14328" max="14328" width="13.42578125" style="28" customWidth="1"/>
    <col min="14329" max="14329" width="14.42578125" style="28" customWidth="1"/>
    <col min="14330" max="14330" width="13.7109375" style="28" customWidth="1"/>
    <col min="14331" max="14333" width="14.140625" style="28" customWidth="1"/>
    <col min="14334" max="14334" width="15" style="28" customWidth="1"/>
    <col min="14335" max="14335" width="13.5703125" style="28" customWidth="1"/>
    <col min="14336" max="14336" width="36.85546875" style="28" customWidth="1"/>
    <col min="14337" max="14337" width="37.7109375" style="28" customWidth="1"/>
    <col min="14338" max="14577" width="9.140625" style="28"/>
    <col min="14578" max="14578" width="4.42578125" style="28" customWidth="1"/>
    <col min="14579" max="14579" width="34.5703125" style="28" customWidth="1"/>
    <col min="14580" max="14580" width="7.42578125" style="28" customWidth="1"/>
    <col min="14581" max="14581" width="10" style="28" customWidth="1"/>
    <col min="14582" max="14582" width="12.28515625" style="28" customWidth="1"/>
    <col min="14583" max="14583" width="12" style="28" customWidth="1"/>
    <col min="14584" max="14584" width="13.42578125" style="28" customWidth="1"/>
    <col min="14585" max="14585" width="14.42578125" style="28" customWidth="1"/>
    <col min="14586" max="14586" width="13.7109375" style="28" customWidth="1"/>
    <col min="14587" max="14589" width="14.140625" style="28" customWidth="1"/>
    <col min="14590" max="14590" width="15" style="28" customWidth="1"/>
    <col min="14591" max="14591" width="13.5703125" style="28" customWidth="1"/>
    <col min="14592" max="14592" width="36.85546875" style="28" customWidth="1"/>
    <col min="14593" max="14593" width="37.7109375" style="28" customWidth="1"/>
    <col min="14594" max="14833" width="9.140625" style="28"/>
    <col min="14834" max="14834" width="4.42578125" style="28" customWidth="1"/>
    <col min="14835" max="14835" width="34.5703125" style="28" customWidth="1"/>
    <col min="14836" max="14836" width="7.42578125" style="28" customWidth="1"/>
    <col min="14837" max="14837" width="10" style="28" customWidth="1"/>
    <col min="14838" max="14838" width="12.28515625" style="28" customWidth="1"/>
    <col min="14839" max="14839" width="12" style="28" customWidth="1"/>
    <col min="14840" max="14840" width="13.42578125" style="28" customWidth="1"/>
    <col min="14841" max="14841" width="14.42578125" style="28" customWidth="1"/>
    <col min="14842" max="14842" width="13.7109375" style="28" customWidth="1"/>
    <col min="14843" max="14845" width="14.140625" style="28" customWidth="1"/>
    <col min="14846" max="14846" width="15" style="28" customWidth="1"/>
    <col min="14847" max="14847" width="13.5703125" style="28" customWidth="1"/>
    <col min="14848" max="14848" width="36.85546875" style="28" customWidth="1"/>
    <col min="14849" max="14849" width="37.7109375" style="28" customWidth="1"/>
    <col min="14850" max="15089" width="9.140625" style="28"/>
    <col min="15090" max="15090" width="4.42578125" style="28" customWidth="1"/>
    <col min="15091" max="15091" width="34.5703125" style="28" customWidth="1"/>
    <col min="15092" max="15092" width="7.42578125" style="28" customWidth="1"/>
    <col min="15093" max="15093" width="10" style="28" customWidth="1"/>
    <col min="15094" max="15094" width="12.28515625" style="28" customWidth="1"/>
    <col min="15095" max="15095" width="12" style="28" customWidth="1"/>
    <col min="15096" max="15096" width="13.42578125" style="28" customWidth="1"/>
    <col min="15097" max="15097" width="14.42578125" style="28" customWidth="1"/>
    <col min="15098" max="15098" width="13.7109375" style="28" customWidth="1"/>
    <col min="15099" max="15101" width="14.140625" style="28" customWidth="1"/>
    <col min="15102" max="15102" width="15" style="28" customWidth="1"/>
    <col min="15103" max="15103" width="13.5703125" style="28" customWidth="1"/>
    <col min="15104" max="15104" width="36.85546875" style="28" customWidth="1"/>
    <col min="15105" max="15105" width="37.7109375" style="28" customWidth="1"/>
    <col min="15106" max="15345" width="9.140625" style="28"/>
    <col min="15346" max="15346" width="4.42578125" style="28" customWidth="1"/>
    <col min="15347" max="15347" width="34.5703125" style="28" customWidth="1"/>
    <col min="15348" max="15348" width="7.42578125" style="28" customWidth="1"/>
    <col min="15349" max="15349" width="10" style="28" customWidth="1"/>
    <col min="15350" max="15350" width="12.28515625" style="28" customWidth="1"/>
    <col min="15351" max="15351" width="12" style="28" customWidth="1"/>
    <col min="15352" max="15352" width="13.42578125" style="28" customWidth="1"/>
    <col min="15353" max="15353" width="14.42578125" style="28" customWidth="1"/>
    <col min="15354" max="15354" width="13.7109375" style="28" customWidth="1"/>
    <col min="15355" max="15357" width="14.140625" style="28" customWidth="1"/>
    <col min="15358" max="15358" width="15" style="28" customWidth="1"/>
    <col min="15359" max="15359" width="13.5703125" style="28" customWidth="1"/>
    <col min="15360" max="15360" width="36.85546875" style="28" customWidth="1"/>
    <col min="15361" max="15361" width="37.7109375" style="28" customWidth="1"/>
    <col min="15362" max="15601" width="9.140625" style="28"/>
    <col min="15602" max="15602" width="4.42578125" style="28" customWidth="1"/>
    <col min="15603" max="15603" width="34.5703125" style="28" customWidth="1"/>
    <col min="15604" max="15604" width="7.42578125" style="28" customWidth="1"/>
    <col min="15605" max="15605" width="10" style="28" customWidth="1"/>
    <col min="15606" max="15606" width="12.28515625" style="28" customWidth="1"/>
    <col min="15607" max="15607" width="12" style="28" customWidth="1"/>
    <col min="15608" max="15608" width="13.42578125" style="28" customWidth="1"/>
    <col min="15609" max="15609" width="14.42578125" style="28" customWidth="1"/>
    <col min="15610" max="15610" width="13.7109375" style="28" customWidth="1"/>
    <col min="15611" max="15613" width="14.140625" style="28" customWidth="1"/>
    <col min="15614" max="15614" width="15" style="28" customWidth="1"/>
    <col min="15615" max="15615" width="13.5703125" style="28" customWidth="1"/>
    <col min="15616" max="15616" width="36.85546875" style="28" customWidth="1"/>
    <col min="15617" max="15617" width="37.7109375" style="28" customWidth="1"/>
    <col min="15618" max="15857" width="9.140625" style="28"/>
    <col min="15858" max="15858" width="4.42578125" style="28" customWidth="1"/>
    <col min="15859" max="15859" width="34.5703125" style="28" customWidth="1"/>
    <col min="15860" max="15860" width="7.42578125" style="28" customWidth="1"/>
    <col min="15861" max="15861" width="10" style="28" customWidth="1"/>
    <col min="15862" max="15862" width="12.28515625" style="28" customWidth="1"/>
    <col min="15863" max="15863" width="12" style="28" customWidth="1"/>
    <col min="15864" max="15864" width="13.42578125" style="28" customWidth="1"/>
    <col min="15865" max="15865" width="14.42578125" style="28" customWidth="1"/>
    <col min="15866" max="15866" width="13.7109375" style="28" customWidth="1"/>
    <col min="15867" max="15869" width="14.140625" style="28" customWidth="1"/>
    <col min="15870" max="15870" width="15" style="28" customWidth="1"/>
    <col min="15871" max="15871" width="13.5703125" style="28" customWidth="1"/>
    <col min="15872" max="15872" width="36.85546875" style="28" customWidth="1"/>
    <col min="15873" max="15873" width="37.7109375" style="28" customWidth="1"/>
    <col min="15874" max="16113" width="9.140625" style="28"/>
    <col min="16114" max="16114" width="4.42578125" style="28" customWidth="1"/>
    <col min="16115" max="16115" width="34.5703125" style="28" customWidth="1"/>
    <col min="16116" max="16116" width="7.42578125" style="28" customWidth="1"/>
    <col min="16117" max="16117" width="10" style="28" customWidth="1"/>
    <col min="16118" max="16118" width="12.28515625" style="28" customWidth="1"/>
    <col min="16119" max="16119" width="12" style="28" customWidth="1"/>
    <col min="16120" max="16120" width="13.42578125" style="28" customWidth="1"/>
    <col min="16121" max="16121" width="14.42578125" style="28" customWidth="1"/>
    <col min="16122" max="16122" width="13.7109375" style="28" customWidth="1"/>
    <col min="16123" max="16125" width="14.140625" style="28" customWidth="1"/>
    <col min="16126" max="16126" width="15" style="28" customWidth="1"/>
    <col min="16127" max="16127" width="13.5703125" style="28" customWidth="1"/>
    <col min="16128" max="16128" width="36.85546875" style="28" customWidth="1"/>
    <col min="16129" max="16129" width="37.7109375" style="28" customWidth="1"/>
    <col min="16130" max="16384" width="9.140625" style="28"/>
  </cols>
  <sheetData>
    <row r="1" spans="1:26" ht="91.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188" t="s">
        <v>138</v>
      </c>
      <c r="M1" s="188"/>
      <c r="N1" s="188"/>
      <c r="O1" s="188"/>
      <c r="P1" s="188"/>
      <c r="Q1" s="27"/>
    </row>
    <row r="2" spans="1:26" ht="72" customHeight="1" x14ac:dyDescent="0.25">
      <c r="A2" s="189" t="s">
        <v>72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26" ht="31.5" customHeight="1" x14ac:dyDescent="0.25">
      <c r="A3" s="187" t="s">
        <v>73</v>
      </c>
      <c r="B3" s="187" t="s">
        <v>74</v>
      </c>
      <c r="C3" s="187" t="s">
        <v>220</v>
      </c>
      <c r="D3" s="187" t="s">
        <v>75</v>
      </c>
      <c r="E3" s="190" t="s">
        <v>76</v>
      </c>
      <c r="F3" s="191"/>
      <c r="G3" s="194"/>
      <c r="H3" s="190" t="s">
        <v>211</v>
      </c>
      <c r="I3" s="191"/>
      <c r="J3" s="191"/>
      <c r="K3" s="191"/>
      <c r="L3" s="191"/>
      <c r="M3" s="97"/>
      <c r="N3" s="29"/>
      <c r="O3" s="29"/>
      <c r="P3" s="187" t="s">
        <v>77</v>
      </c>
      <c r="Q3" s="187" t="s">
        <v>78</v>
      </c>
    </row>
    <row r="4" spans="1:26" ht="18" customHeight="1" x14ac:dyDescent="0.25">
      <c r="A4" s="187"/>
      <c r="B4" s="187"/>
      <c r="C4" s="187"/>
      <c r="D4" s="187"/>
      <c r="E4" s="187" t="s">
        <v>243</v>
      </c>
      <c r="F4" s="187" t="s">
        <v>218</v>
      </c>
      <c r="G4" s="187" t="s">
        <v>219</v>
      </c>
      <c r="H4" s="187" t="s">
        <v>79</v>
      </c>
      <c r="I4" s="187" t="s">
        <v>80</v>
      </c>
      <c r="J4" s="192" t="s">
        <v>212</v>
      </c>
      <c r="K4" s="192" t="s">
        <v>213</v>
      </c>
      <c r="L4" s="192" t="s">
        <v>214</v>
      </c>
      <c r="M4" s="192" t="s">
        <v>215</v>
      </c>
      <c r="N4" s="192" t="s">
        <v>216</v>
      </c>
      <c r="O4" s="192" t="s">
        <v>81</v>
      </c>
      <c r="P4" s="187"/>
      <c r="Q4" s="187"/>
    </row>
    <row r="5" spans="1:26" ht="84.75" customHeight="1" x14ac:dyDescent="0.25">
      <c r="A5" s="187"/>
      <c r="B5" s="187"/>
      <c r="C5" s="187"/>
      <c r="D5" s="187"/>
      <c r="E5" s="187"/>
      <c r="F5" s="187"/>
      <c r="G5" s="187"/>
      <c r="H5" s="187"/>
      <c r="I5" s="187"/>
      <c r="J5" s="193"/>
      <c r="K5" s="193"/>
      <c r="L5" s="193"/>
      <c r="M5" s="193"/>
      <c r="N5" s="193"/>
      <c r="O5" s="193"/>
      <c r="P5" s="187"/>
      <c r="Q5" s="187"/>
    </row>
    <row r="6" spans="1:26" s="27" customFormat="1" ht="12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>
        <v>17</v>
      </c>
    </row>
    <row r="7" spans="1:26" s="35" customFormat="1" ht="18" customHeight="1" x14ac:dyDescent="0.25">
      <c r="A7" s="182" t="s">
        <v>82</v>
      </c>
      <c r="B7" s="183"/>
      <c r="C7" s="31"/>
      <c r="D7" s="32"/>
      <c r="E7" s="33">
        <f>E8+E49+E75+E96+E122+E138+E159</f>
        <v>244855.58045000001</v>
      </c>
      <c r="F7" s="33">
        <f t="shared" ref="F7:N7" si="0">F8+F49+F75+F96+F122+F138+F159</f>
        <v>16268.86145</v>
      </c>
      <c r="G7" s="33">
        <f t="shared" si="0"/>
        <v>228586.71900000001</v>
      </c>
      <c r="H7" s="33">
        <f t="shared" si="0"/>
        <v>91405.516999999978</v>
      </c>
      <c r="I7" s="33">
        <f t="shared" si="0"/>
        <v>57237.902000000002</v>
      </c>
      <c r="J7" s="33">
        <f t="shared" si="0"/>
        <v>42450</v>
      </c>
      <c r="K7" s="33">
        <f t="shared" si="0"/>
        <v>13489.4</v>
      </c>
      <c r="L7" s="33">
        <f t="shared" si="0"/>
        <v>11440</v>
      </c>
      <c r="M7" s="33">
        <f t="shared" si="0"/>
        <v>7113.9</v>
      </c>
      <c r="N7" s="33">
        <f t="shared" si="0"/>
        <v>5450</v>
      </c>
      <c r="O7" s="37">
        <f>I7+J7+K7+L7+N7+M7+H7</f>
        <v>228586.71899999998</v>
      </c>
      <c r="P7" s="34"/>
      <c r="Q7" s="34"/>
    </row>
    <row r="8" spans="1:26" s="27" customFormat="1" ht="27.75" customHeight="1" x14ac:dyDescent="0.25">
      <c r="A8" s="184" t="s">
        <v>83</v>
      </c>
      <c r="B8" s="185"/>
      <c r="C8" s="186"/>
      <c r="D8" s="36"/>
      <c r="E8" s="37">
        <f t="shared" ref="E8:F8" si="1">E9+E14+E19+E24+E29+E39+E44+E44</f>
        <v>39480</v>
      </c>
      <c r="F8" s="37">
        <f t="shared" si="1"/>
        <v>0</v>
      </c>
      <c r="G8" s="37">
        <f t="shared" ref="G8" si="2">G9+G14+G19+G24+G29+G39+G44+G44</f>
        <v>39480</v>
      </c>
      <c r="H8" s="37">
        <f t="shared" ref="H8" si="3">H9+H14+H19+H24+H29+H39+H44+H44</f>
        <v>17100</v>
      </c>
      <c r="I8" s="37">
        <f t="shared" ref="I8" si="4">I9+I14+I19+I24+I29+I39+I44+I44</f>
        <v>6350</v>
      </c>
      <c r="J8" s="37">
        <f t="shared" ref="J8" si="5">J9+J14+J19+J24+J29+J39+J44+J44</f>
        <v>6550</v>
      </c>
      <c r="K8" s="37">
        <f t="shared" ref="K8" si="6">K9+K14+K19+K24+K29+K39+K44+K44</f>
        <v>1650</v>
      </c>
      <c r="L8" s="37">
        <f t="shared" ref="L8" si="7">L9+L14+L19+L24+L29+L39+L44+L44</f>
        <v>3690</v>
      </c>
      <c r="M8" s="37">
        <f t="shared" ref="M8" si="8">M9+M14+M19+M24+M29+M39+M44+M44</f>
        <v>2040</v>
      </c>
      <c r="N8" s="37">
        <f t="shared" ref="N8" si="9">N9+N14+N19+N24+N29+N39+N44+N44</f>
        <v>2100</v>
      </c>
      <c r="O8" s="37">
        <f>I8+J8+K8+L8+N8+M8+H8</f>
        <v>39480</v>
      </c>
      <c r="P8" s="38"/>
      <c r="Q8" s="38"/>
      <c r="R8" s="53">
        <f>H9+H14+H19+H24+H29+H34+H44+H50+H55+H60+H65+H70+H76+H81+H86+H91+H97+H102+H107+H112+H117+H123+H128+H133+H139+H144+H149+H154+H160+H165+H170</f>
        <v>87005.516999999993</v>
      </c>
      <c r="S8" s="53">
        <f t="shared" ref="S8:Z8" si="10">I9+I14+I19+I24+I29+I34+I44+I50+I55+I60+I65+I70+I76+I81+I86+I91+I97+I102+I107+I112+I117+I123+I128+I133+I139+I144+I149+I154+I160+I165+I170</f>
        <v>56737.902000000002</v>
      </c>
      <c r="T8" s="53">
        <f t="shared" si="10"/>
        <v>41850</v>
      </c>
      <c r="U8" s="53">
        <f t="shared" si="10"/>
        <v>15135.3</v>
      </c>
      <c r="V8" s="53">
        <f t="shared" si="10"/>
        <v>8870</v>
      </c>
      <c r="W8" s="53">
        <f t="shared" si="10"/>
        <v>6393.9</v>
      </c>
      <c r="X8" s="53">
        <f t="shared" si="10"/>
        <v>4700</v>
      </c>
      <c r="Y8" s="53">
        <f t="shared" si="10"/>
        <v>220692.61899999998</v>
      </c>
      <c r="Z8" s="53" t="e">
        <f t="shared" si="10"/>
        <v>#VALUE!</v>
      </c>
    </row>
    <row r="9" spans="1:26" s="27" customFormat="1" ht="32.25" customHeight="1" x14ac:dyDescent="0.25">
      <c r="A9" s="152">
        <v>1</v>
      </c>
      <c r="B9" s="152" t="s">
        <v>225</v>
      </c>
      <c r="C9" s="152" t="s">
        <v>223</v>
      </c>
      <c r="D9" s="152" t="s">
        <v>224</v>
      </c>
      <c r="E9" s="146">
        <f t="shared" ref="E9" si="11">H9+I9+J9+K9+L9+M9+N9</f>
        <v>3000</v>
      </c>
      <c r="F9" s="66"/>
      <c r="G9" s="158">
        <v>3000</v>
      </c>
      <c r="H9" s="39">
        <f>H10+H11+H12+H13</f>
        <v>200</v>
      </c>
      <c r="I9" s="39">
        <f>I10+I11+I12+I13</f>
        <v>350</v>
      </c>
      <c r="J9" s="39">
        <f>J10+J11+J12+J13</f>
        <v>350</v>
      </c>
      <c r="K9" s="39">
        <f t="shared" ref="K9:N9" si="12">K10+K11+K12+K13</f>
        <v>400</v>
      </c>
      <c r="L9" s="39">
        <f t="shared" si="12"/>
        <v>500</v>
      </c>
      <c r="M9" s="39">
        <f t="shared" si="12"/>
        <v>600</v>
      </c>
      <c r="N9" s="39">
        <f t="shared" si="12"/>
        <v>600</v>
      </c>
      <c r="O9" s="37">
        <f t="shared" ref="O9:O72" si="13">I9+J9+K9+L9+N9+M9+H9</f>
        <v>3000</v>
      </c>
      <c r="P9" s="40" t="s">
        <v>85</v>
      </c>
      <c r="Q9" s="152" t="s">
        <v>226</v>
      </c>
      <c r="R9" s="53">
        <f>H10+H15+H20+H25+H30+H35+H45+H51+H56+H61+H66+H71+H77+H82+H87+H92+H98+H103+H108+H113+H118+H124+H129+H134+H140+H145+H150+H155+H161+H166+H171</f>
        <v>4257.9170000000004</v>
      </c>
      <c r="S9" s="53">
        <f t="shared" ref="S9:Z9" si="14">I10+I15+I20+I25+I30+I35+I45+I51+I56+I61+I66+I71+I77+I82+I87+I92+I98+I103+I108+I113+I118+I124+I129+I134+I140+I145+I150+I155+I161+I166+I171</f>
        <v>3268.8909999999996</v>
      </c>
      <c r="T9" s="53">
        <f t="shared" si="14"/>
        <v>0</v>
      </c>
      <c r="U9" s="53">
        <f t="shared" si="14"/>
        <v>4235.3</v>
      </c>
      <c r="V9" s="53">
        <f t="shared" si="14"/>
        <v>0</v>
      </c>
      <c r="W9" s="53">
        <f t="shared" si="14"/>
        <v>0</v>
      </c>
      <c r="X9" s="53">
        <f t="shared" si="14"/>
        <v>0</v>
      </c>
      <c r="Y9" s="53">
        <f t="shared" si="14"/>
        <v>11762.108</v>
      </c>
      <c r="Z9" s="53" t="e">
        <f t="shared" si="14"/>
        <v>#VALUE!</v>
      </c>
    </row>
    <row r="10" spans="1:26" s="27" customFormat="1" ht="25.5" customHeight="1" x14ac:dyDescent="0.25">
      <c r="A10" s="153"/>
      <c r="B10" s="153"/>
      <c r="C10" s="153"/>
      <c r="D10" s="153"/>
      <c r="E10" s="147"/>
      <c r="F10" s="66"/>
      <c r="G10" s="159"/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37">
        <f t="shared" si="13"/>
        <v>0</v>
      </c>
      <c r="P10" s="40" t="s">
        <v>86</v>
      </c>
      <c r="Q10" s="153"/>
      <c r="R10" s="53">
        <f>H11+H16+H21+H26+H31+H36+H46+H52+H57+H62+H67+H72+H78+H83+H88+H93+H99+H104+H109+H114+H119+H125+H130+H135+H141+H146+H151+H156+H162+H167+H172</f>
        <v>32334.974000000002</v>
      </c>
      <c r="S10" s="53">
        <f t="shared" ref="S10:U12" si="15">I11+I16+I21+I26+I31+I36+I46+I52+I57+I62+I67+I72+I78+I83+I88+I93+I99+I104+I109+I114+I119+I125+I130+I135+I141+I146+I151+I156+I162+I167+I172</f>
        <v>14869.511</v>
      </c>
      <c r="T10" s="53">
        <f t="shared" si="15"/>
        <v>8000</v>
      </c>
      <c r="U10" s="53">
        <f t="shared" si="15"/>
        <v>4000</v>
      </c>
      <c r="V10" s="53">
        <f t="shared" ref="V10:V12" si="16">L11+L16+L21+L26+L31+L36+L46+L52+L57+L62+L67+L72+L78+L83+L88+L93+L99+L104+L109+L114+L119+L125+L130+L135+L141+L146+L151+L156+L162+L167+L172</f>
        <v>4000</v>
      </c>
      <c r="W10" s="53">
        <f>M11+M16+M21+M26+M31+M36+M46+M52+M57+M62+M67+M72+M78+M83+M88+M93+M99+M104+M109+M114+M119+M125+M130+M135+M141+M146+M151+M156+M162+M167+M172</f>
        <v>1573.9</v>
      </c>
      <c r="X10" s="53">
        <f t="shared" ref="X10:Z12" si="17">N11+N16+N21+N26+N31+N36+N46+N52+N57+N62+N67+N72+N78+N83+N88+N93+N99+N104+N109+N114+N119+N125+N130+N135+N141+N146+N151+N156+N162+N167+N172</f>
        <v>0</v>
      </c>
      <c r="Y10" s="53">
        <f t="shared" si="17"/>
        <v>64778.385000000002</v>
      </c>
      <c r="Z10" s="53" t="e">
        <f t="shared" si="17"/>
        <v>#VALUE!</v>
      </c>
    </row>
    <row r="11" spans="1:26" s="27" customFormat="1" ht="27" customHeight="1" x14ac:dyDescent="0.25">
      <c r="A11" s="153"/>
      <c r="B11" s="153"/>
      <c r="C11" s="153"/>
      <c r="D11" s="153"/>
      <c r="E11" s="147"/>
      <c r="F11" s="66"/>
      <c r="G11" s="159"/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37">
        <f t="shared" si="13"/>
        <v>0</v>
      </c>
      <c r="P11" s="40" t="s">
        <v>87</v>
      </c>
      <c r="Q11" s="153"/>
      <c r="R11" s="53">
        <f t="shared" ref="R11:R12" si="18">H12+H17+H22+H27+H32+H37+H47+H53+H58+H63+H68+H73+H79+H84+H89+H94+H100+H105+H110+H115+H120+H126+H131+H136+H142+H147+H152+H157+H163+H168+H173</f>
        <v>41241.725999999995</v>
      </c>
      <c r="S11" s="53">
        <f t="shared" si="15"/>
        <v>27511.200000000001</v>
      </c>
      <c r="T11" s="53">
        <f t="shared" si="15"/>
        <v>29050</v>
      </c>
      <c r="U11" s="53">
        <f t="shared" si="15"/>
        <v>1950</v>
      </c>
      <c r="V11" s="53">
        <f t="shared" si="16"/>
        <v>570</v>
      </c>
      <c r="W11" s="53">
        <f t="shared" ref="W11:W12" si="19">M12+M17+M22+M27+M32+M37+M47+M53+M58+M63+M68+M73+M79+M84+M89+M94+M100+M105+M110+M115+M120+M126+M131+M136+M142+M147+M152+M157+M163+M168+M173</f>
        <v>620</v>
      </c>
      <c r="X11" s="53">
        <f t="shared" si="17"/>
        <v>350</v>
      </c>
      <c r="Y11" s="53">
        <f t="shared" si="17"/>
        <v>101292.92599999999</v>
      </c>
      <c r="Z11" s="53" t="e">
        <f t="shared" si="17"/>
        <v>#VALUE!</v>
      </c>
    </row>
    <row r="12" spans="1:26" s="27" customFormat="1" ht="27" customHeight="1" x14ac:dyDescent="0.25">
      <c r="A12" s="153"/>
      <c r="B12" s="153"/>
      <c r="C12" s="153"/>
      <c r="D12" s="153"/>
      <c r="E12" s="147"/>
      <c r="F12" s="66"/>
      <c r="G12" s="159"/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37">
        <f t="shared" si="13"/>
        <v>0</v>
      </c>
      <c r="P12" s="40" t="s">
        <v>88</v>
      </c>
      <c r="Q12" s="153"/>
      <c r="R12" s="53">
        <f t="shared" si="18"/>
        <v>9170.9</v>
      </c>
      <c r="S12" s="53">
        <f t="shared" si="15"/>
        <v>11088.3</v>
      </c>
      <c r="T12" s="53">
        <f t="shared" si="15"/>
        <v>5250</v>
      </c>
      <c r="U12" s="53">
        <f t="shared" si="15"/>
        <v>4950</v>
      </c>
      <c r="V12" s="53">
        <f t="shared" si="16"/>
        <v>4300</v>
      </c>
      <c r="W12" s="53">
        <f t="shared" si="19"/>
        <v>4200</v>
      </c>
      <c r="X12" s="53">
        <f t="shared" si="17"/>
        <v>4350</v>
      </c>
      <c r="Y12" s="53">
        <f t="shared" si="17"/>
        <v>43309.2</v>
      </c>
      <c r="Z12" s="53" t="e">
        <f t="shared" si="17"/>
        <v>#VALUE!</v>
      </c>
    </row>
    <row r="13" spans="1:26" s="27" customFormat="1" ht="27" customHeight="1" x14ac:dyDescent="0.25">
      <c r="A13" s="154"/>
      <c r="B13" s="154"/>
      <c r="C13" s="154"/>
      <c r="D13" s="154"/>
      <c r="E13" s="148"/>
      <c r="F13" s="66"/>
      <c r="G13" s="160"/>
      <c r="H13" s="41">
        <v>200</v>
      </c>
      <c r="I13" s="41">
        <v>350</v>
      </c>
      <c r="J13" s="41">
        <v>350</v>
      </c>
      <c r="K13" s="41">
        <v>400</v>
      </c>
      <c r="L13" s="41">
        <v>500</v>
      </c>
      <c r="M13" s="41">
        <v>600</v>
      </c>
      <c r="N13" s="41">
        <v>600</v>
      </c>
      <c r="O13" s="37">
        <f t="shared" si="13"/>
        <v>3000</v>
      </c>
      <c r="P13" s="40" t="s">
        <v>89</v>
      </c>
      <c r="Q13" s="154"/>
    </row>
    <row r="14" spans="1:26" s="27" customFormat="1" ht="25.5" customHeight="1" x14ac:dyDescent="0.25">
      <c r="A14" s="152">
        <v>2</v>
      </c>
      <c r="B14" s="152" t="s">
        <v>90</v>
      </c>
      <c r="C14" s="152">
        <v>2023</v>
      </c>
      <c r="D14" s="152" t="s">
        <v>84</v>
      </c>
      <c r="E14" s="146">
        <f t="shared" ref="E14" si="20">H14+I14+J14+K14+L14+M14+N14</f>
        <v>5000</v>
      </c>
      <c r="F14" s="110"/>
      <c r="G14" s="158">
        <f>E14-F14</f>
        <v>5000</v>
      </c>
      <c r="H14" s="39">
        <f t="shared" ref="H14:N14" si="21">H15+H16+H17+H18</f>
        <v>0</v>
      </c>
      <c r="I14" s="39">
        <f t="shared" si="21"/>
        <v>0</v>
      </c>
      <c r="J14" s="39">
        <f t="shared" si="21"/>
        <v>5000</v>
      </c>
      <c r="K14" s="39">
        <f t="shared" si="21"/>
        <v>0</v>
      </c>
      <c r="L14" s="39">
        <f t="shared" si="21"/>
        <v>0</v>
      </c>
      <c r="M14" s="39">
        <f t="shared" si="21"/>
        <v>0</v>
      </c>
      <c r="N14" s="39">
        <f t="shared" si="21"/>
        <v>0</v>
      </c>
      <c r="O14" s="37">
        <f t="shared" si="13"/>
        <v>5000</v>
      </c>
      <c r="P14" s="40" t="s">
        <v>85</v>
      </c>
      <c r="Q14" s="127" t="s">
        <v>91</v>
      </c>
    </row>
    <row r="15" spans="1:26" s="27" customFormat="1" ht="27" customHeight="1" x14ac:dyDescent="0.25">
      <c r="A15" s="153"/>
      <c r="B15" s="153"/>
      <c r="C15" s="153"/>
      <c r="D15" s="153"/>
      <c r="E15" s="147"/>
      <c r="F15" s="110"/>
      <c r="G15" s="159"/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37">
        <f t="shared" si="13"/>
        <v>0</v>
      </c>
      <c r="P15" s="40" t="s">
        <v>86</v>
      </c>
      <c r="Q15" s="128"/>
    </row>
    <row r="16" spans="1:26" s="27" customFormat="1" ht="24.75" customHeight="1" x14ac:dyDescent="0.25">
      <c r="A16" s="153"/>
      <c r="B16" s="153"/>
      <c r="C16" s="153"/>
      <c r="D16" s="153"/>
      <c r="E16" s="147"/>
      <c r="F16" s="110"/>
      <c r="G16" s="159"/>
      <c r="H16" s="41">
        <v>0</v>
      </c>
      <c r="I16" s="41">
        <v>0</v>
      </c>
      <c r="J16" s="41">
        <v>4000</v>
      </c>
      <c r="K16" s="41">
        <v>0</v>
      </c>
      <c r="L16" s="41">
        <v>0</v>
      </c>
      <c r="M16" s="41">
        <v>0</v>
      </c>
      <c r="N16" s="41">
        <v>0</v>
      </c>
      <c r="O16" s="37">
        <f t="shared" si="13"/>
        <v>4000</v>
      </c>
      <c r="P16" s="40" t="s">
        <v>87</v>
      </c>
      <c r="Q16" s="128"/>
    </row>
    <row r="17" spans="1:17" s="27" customFormat="1" ht="24" customHeight="1" x14ac:dyDescent="0.25">
      <c r="A17" s="153"/>
      <c r="B17" s="153"/>
      <c r="C17" s="153"/>
      <c r="D17" s="153"/>
      <c r="E17" s="147"/>
      <c r="F17" s="110"/>
      <c r="G17" s="159"/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37">
        <f t="shared" si="13"/>
        <v>0</v>
      </c>
      <c r="P17" s="40" t="s">
        <v>88</v>
      </c>
      <c r="Q17" s="128"/>
    </row>
    <row r="18" spans="1:17" s="27" customFormat="1" ht="26.25" customHeight="1" x14ac:dyDescent="0.25">
      <c r="A18" s="154"/>
      <c r="B18" s="154"/>
      <c r="C18" s="154"/>
      <c r="D18" s="154"/>
      <c r="E18" s="148"/>
      <c r="F18" s="110"/>
      <c r="G18" s="160"/>
      <c r="H18" s="41">
        <v>0</v>
      </c>
      <c r="I18" s="41">
        <v>0</v>
      </c>
      <c r="J18" s="41">
        <v>1000</v>
      </c>
      <c r="K18" s="41">
        <v>0</v>
      </c>
      <c r="L18" s="41">
        <v>0</v>
      </c>
      <c r="M18" s="41">
        <v>0</v>
      </c>
      <c r="N18" s="41">
        <v>0</v>
      </c>
      <c r="O18" s="37">
        <f t="shared" si="13"/>
        <v>1000</v>
      </c>
      <c r="P18" s="40" t="s">
        <v>89</v>
      </c>
      <c r="Q18" s="129"/>
    </row>
    <row r="19" spans="1:17" s="27" customFormat="1" ht="21" customHeight="1" x14ac:dyDescent="0.25">
      <c r="A19" s="152">
        <v>3</v>
      </c>
      <c r="B19" s="152" t="s">
        <v>227</v>
      </c>
      <c r="C19" s="152">
        <v>2024</v>
      </c>
      <c r="D19" s="164" t="s">
        <v>93</v>
      </c>
      <c r="E19" s="146">
        <f t="shared" ref="E19" si="22">H19+I19+J19+K19+L19+M19+N19</f>
        <v>50</v>
      </c>
      <c r="F19" s="66"/>
      <c r="G19" s="158">
        <f>E19-F19</f>
        <v>50</v>
      </c>
      <c r="H19" s="39">
        <f t="shared" ref="H19:N19" si="23">H20+H21+H22+H23</f>
        <v>0</v>
      </c>
      <c r="I19" s="39">
        <f t="shared" si="23"/>
        <v>0</v>
      </c>
      <c r="J19" s="39">
        <f t="shared" si="23"/>
        <v>0</v>
      </c>
      <c r="K19" s="39">
        <f t="shared" si="23"/>
        <v>50</v>
      </c>
      <c r="L19" s="39">
        <f t="shared" si="23"/>
        <v>0</v>
      </c>
      <c r="M19" s="39">
        <f t="shared" si="23"/>
        <v>0</v>
      </c>
      <c r="N19" s="39">
        <f t="shared" si="23"/>
        <v>0</v>
      </c>
      <c r="O19" s="37">
        <f t="shared" si="13"/>
        <v>50</v>
      </c>
      <c r="P19" s="40" t="s">
        <v>85</v>
      </c>
      <c r="Q19" s="128" t="s">
        <v>94</v>
      </c>
    </row>
    <row r="20" spans="1:17" s="27" customFormat="1" ht="24" customHeight="1" x14ac:dyDescent="0.25">
      <c r="A20" s="153"/>
      <c r="B20" s="153"/>
      <c r="C20" s="153"/>
      <c r="D20" s="165"/>
      <c r="E20" s="147"/>
      <c r="F20" s="66"/>
      <c r="G20" s="159"/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37">
        <f t="shared" si="13"/>
        <v>0</v>
      </c>
      <c r="P20" s="40" t="s">
        <v>86</v>
      </c>
      <c r="Q20" s="128"/>
    </row>
    <row r="21" spans="1:17" s="27" customFormat="1" ht="23.25" customHeight="1" x14ac:dyDescent="0.25">
      <c r="A21" s="153"/>
      <c r="B21" s="153"/>
      <c r="C21" s="153"/>
      <c r="D21" s="165"/>
      <c r="E21" s="147"/>
      <c r="F21" s="66"/>
      <c r="G21" s="159"/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37">
        <f t="shared" si="13"/>
        <v>0</v>
      </c>
      <c r="P21" s="40" t="s">
        <v>87</v>
      </c>
      <c r="Q21" s="128"/>
    </row>
    <row r="22" spans="1:17" s="27" customFormat="1" ht="23.25" customHeight="1" x14ac:dyDescent="0.25">
      <c r="A22" s="153"/>
      <c r="B22" s="153"/>
      <c r="C22" s="153"/>
      <c r="D22" s="165"/>
      <c r="E22" s="147"/>
      <c r="F22" s="66"/>
      <c r="G22" s="159"/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37">
        <f t="shared" si="13"/>
        <v>0</v>
      </c>
      <c r="P22" s="40" t="s">
        <v>88</v>
      </c>
      <c r="Q22" s="128"/>
    </row>
    <row r="23" spans="1:17" s="27" customFormat="1" ht="24" customHeight="1" x14ac:dyDescent="0.25">
      <c r="A23" s="154"/>
      <c r="B23" s="154"/>
      <c r="C23" s="154"/>
      <c r="D23" s="166"/>
      <c r="E23" s="148"/>
      <c r="F23" s="66"/>
      <c r="G23" s="160"/>
      <c r="H23" s="41">
        <v>0</v>
      </c>
      <c r="I23" s="41">
        <v>0</v>
      </c>
      <c r="J23" s="41">
        <v>0</v>
      </c>
      <c r="K23" s="41">
        <v>50</v>
      </c>
      <c r="L23" s="41">
        <v>0</v>
      </c>
      <c r="M23" s="41">
        <v>0</v>
      </c>
      <c r="N23" s="41">
        <v>0</v>
      </c>
      <c r="O23" s="37">
        <f t="shared" si="13"/>
        <v>50</v>
      </c>
      <c r="P23" s="40" t="s">
        <v>89</v>
      </c>
      <c r="Q23" s="129"/>
    </row>
    <row r="24" spans="1:17" s="27" customFormat="1" ht="30" customHeight="1" x14ac:dyDescent="0.25">
      <c r="A24" s="152">
        <v>4</v>
      </c>
      <c r="B24" s="146" t="s">
        <v>95</v>
      </c>
      <c r="C24" s="170">
        <v>2022</v>
      </c>
      <c r="D24" s="146" t="s">
        <v>96</v>
      </c>
      <c r="E24" s="146">
        <f t="shared" ref="E24" si="24">H24+I24+J24+K24+L24+M24+N24</f>
        <v>5000</v>
      </c>
      <c r="F24" s="111"/>
      <c r="G24" s="158">
        <f>E24-F24</f>
        <v>5000</v>
      </c>
      <c r="H24" s="39">
        <f t="shared" ref="H24:N24" si="25">H25+H26+H27+H28</f>
        <v>0</v>
      </c>
      <c r="I24" s="39">
        <f t="shared" si="25"/>
        <v>5000</v>
      </c>
      <c r="J24" s="39">
        <f t="shared" si="25"/>
        <v>0</v>
      </c>
      <c r="K24" s="39">
        <f t="shared" si="25"/>
        <v>0</v>
      </c>
      <c r="L24" s="39">
        <f t="shared" si="25"/>
        <v>0</v>
      </c>
      <c r="M24" s="39">
        <f t="shared" si="25"/>
        <v>0</v>
      </c>
      <c r="N24" s="39">
        <f t="shared" si="25"/>
        <v>0</v>
      </c>
      <c r="O24" s="37">
        <f t="shared" si="13"/>
        <v>5000</v>
      </c>
      <c r="P24" s="40" t="s">
        <v>85</v>
      </c>
      <c r="Q24" s="164" t="s">
        <v>97</v>
      </c>
    </row>
    <row r="25" spans="1:17" s="27" customFormat="1" ht="29.25" customHeight="1" x14ac:dyDescent="0.25">
      <c r="A25" s="153"/>
      <c r="B25" s="147"/>
      <c r="C25" s="171"/>
      <c r="D25" s="147"/>
      <c r="E25" s="147"/>
      <c r="F25" s="66"/>
      <c r="G25" s="159"/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1">
        <v>0</v>
      </c>
      <c r="O25" s="37">
        <f t="shared" si="13"/>
        <v>0</v>
      </c>
      <c r="P25" s="40" t="s">
        <v>86</v>
      </c>
      <c r="Q25" s="165"/>
    </row>
    <row r="26" spans="1:17" s="27" customFormat="1" ht="26.25" customHeight="1" x14ac:dyDescent="0.25">
      <c r="A26" s="153"/>
      <c r="B26" s="147"/>
      <c r="C26" s="171"/>
      <c r="D26" s="147"/>
      <c r="E26" s="147"/>
      <c r="F26" s="66"/>
      <c r="G26" s="159"/>
      <c r="H26" s="42">
        <v>0</v>
      </c>
      <c r="I26" s="42">
        <v>4000</v>
      </c>
      <c r="J26" s="42">
        <v>0</v>
      </c>
      <c r="K26" s="42">
        <v>0</v>
      </c>
      <c r="L26" s="42">
        <v>0</v>
      </c>
      <c r="M26" s="42">
        <v>0</v>
      </c>
      <c r="N26" s="41">
        <v>0</v>
      </c>
      <c r="O26" s="37">
        <f t="shared" si="13"/>
        <v>4000</v>
      </c>
      <c r="P26" s="40" t="s">
        <v>87</v>
      </c>
      <c r="Q26" s="165"/>
    </row>
    <row r="27" spans="1:17" s="27" customFormat="1" ht="28.5" customHeight="1" x14ac:dyDescent="0.25">
      <c r="A27" s="153"/>
      <c r="B27" s="147"/>
      <c r="C27" s="171"/>
      <c r="D27" s="147"/>
      <c r="E27" s="147"/>
      <c r="F27" s="66"/>
      <c r="G27" s="159"/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1">
        <v>0</v>
      </c>
      <c r="O27" s="37">
        <f t="shared" si="13"/>
        <v>0</v>
      </c>
      <c r="P27" s="40" t="s">
        <v>88</v>
      </c>
      <c r="Q27" s="165"/>
    </row>
    <row r="28" spans="1:17" s="27" customFormat="1" ht="25.5" customHeight="1" x14ac:dyDescent="0.25">
      <c r="A28" s="154"/>
      <c r="B28" s="148"/>
      <c r="C28" s="172"/>
      <c r="D28" s="148"/>
      <c r="E28" s="148"/>
      <c r="F28" s="66"/>
      <c r="G28" s="160"/>
      <c r="H28" s="42">
        <v>0</v>
      </c>
      <c r="I28" s="42">
        <v>1000</v>
      </c>
      <c r="J28" s="42">
        <v>0</v>
      </c>
      <c r="K28" s="42">
        <v>0</v>
      </c>
      <c r="L28" s="42">
        <v>0</v>
      </c>
      <c r="M28" s="42">
        <v>0</v>
      </c>
      <c r="N28" s="41">
        <v>0</v>
      </c>
      <c r="O28" s="37">
        <f t="shared" si="13"/>
        <v>1000</v>
      </c>
      <c r="P28" s="40" t="s">
        <v>89</v>
      </c>
      <c r="Q28" s="166"/>
    </row>
    <row r="29" spans="1:17" s="27" customFormat="1" ht="25.5" customHeight="1" x14ac:dyDescent="0.25">
      <c r="A29" s="152">
        <v>5</v>
      </c>
      <c r="B29" s="146" t="s">
        <v>221</v>
      </c>
      <c r="C29" s="95"/>
      <c r="D29" s="86"/>
      <c r="E29" s="146">
        <f>H29+I29+J29+K29+L29+M29+N29</f>
        <v>12000</v>
      </c>
      <c r="F29" s="66"/>
      <c r="G29" s="158">
        <f>E29-F29</f>
        <v>12000</v>
      </c>
      <c r="H29" s="39">
        <f t="shared" ref="H29:N29" si="26">H30+H31+H32+H33</f>
        <v>12000</v>
      </c>
      <c r="I29" s="39">
        <f t="shared" si="26"/>
        <v>0</v>
      </c>
      <c r="J29" s="39">
        <f t="shared" si="26"/>
        <v>0</v>
      </c>
      <c r="K29" s="39">
        <f t="shared" si="26"/>
        <v>0</v>
      </c>
      <c r="L29" s="39">
        <f t="shared" si="26"/>
        <v>0</v>
      </c>
      <c r="M29" s="39">
        <f t="shared" si="26"/>
        <v>0</v>
      </c>
      <c r="N29" s="39">
        <f t="shared" si="26"/>
        <v>0</v>
      </c>
      <c r="O29" s="37">
        <f t="shared" si="13"/>
        <v>12000</v>
      </c>
      <c r="P29" s="40" t="s">
        <v>85</v>
      </c>
      <c r="Q29" s="164" t="s">
        <v>222</v>
      </c>
    </row>
    <row r="30" spans="1:17" s="27" customFormat="1" ht="26.25" customHeight="1" x14ac:dyDescent="0.25">
      <c r="A30" s="153"/>
      <c r="B30" s="147"/>
      <c r="C30" s="95"/>
      <c r="D30" s="86"/>
      <c r="E30" s="147"/>
      <c r="F30" s="66"/>
      <c r="G30" s="159"/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7">
        <f t="shared" si="13"/>
        <v>0</v>
      </c>
      <c r="P30" s="40" t="s">
        <v>86</v>
      </c>
      <c r="Q30" s="165"/>
    </row>
    <row r="31" spans="1:17" s="27" customFormat="1" ht="27.75" customHeight="1" x14ac:dyDescent="0.25">
      <c r="A31" s="153"/>
      <c r="B31" s="147"/>
      <c r="C31" s="95">
        <v>2021</v>
      </c>
      <c r="D31" s="86" t="s">
        <v>98</v>
      </c>
      <c r="E31" s="147"/>
      <c r="F31" s="66"/>
      <c r="G31" s="159"/>
      <c r="H31" s="42">
        <v>11000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37">
        <f t="shared" si="13"/>
        <v>11000</v>
      </c>
      <c r="P31" s="40" t="s">
        <v>87</v>
      </c>
      <c r="Q31" s="165"/>
    </row>
    <row r="32" spans="1:17" s="27" customFormat="1" ht="27" customHeight="1" x14ac:dyDescent="0.25">
      <c r="A32" s="153"/>
      <c r="B32" s="147"/>
      <c r="C32" s="95"/>
      <c r="D32" s="86"/>
      <c r="E32" s="147"/>
      <c r="F32" s="66"/>
      <c r="G32" s="159"/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37">
        <f t="shared" si="13"/>
        <v>0</v>
      </c>
      <c r="P32" s="40" t="s">
        <v>88</v>
      </c>
      <c r="Q32" s="165"/>
    </row>
    <row r="33" spans="1:17" s="27" customFormat="1" ht="25.5" customHeight="1" x14ac:dyDescent="0.25">
      <c r="A33" s="154"/>
      <c r="B33" s="148"/>
      <c r="C33" s="95"/>
      <c r="D33" s="86"/>
      <c r="E33" s="148"/>
      <c r="F33" s="66"/>
      <c r="G33" s="160"/>
      <c r="H33" s="42">
        <v>1000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1">
        <v>0</v>
      </c>
      <c r="O33" s="37">
        <f t="shared" si="13"/>
        <v>1000</v>
      </c>
      <c r="P33" s="40" t="s">
        <v>89</v>
      </c>
      <c r="Q33" s="166"/>
    </row>
    <row r="34" spans="1:17" s="27" customFormat="1" ht="30.75" customHeight="1" x14ac:dyDescent="0.25">
      <c r="A34" s="152">
        <v>6</v>
      </c>
      <c r="B34" s="152" t="s">
        <v>210</v>
      </c>
      <c r="C34" s="173">
        <v>2021</v>
      </c>
      <c r="D34" s="176" t="s">
        <v>92</v>
      </c>
      <c r="E34" s="179">
        <f>H34+I34+J34+K34+L34+N34+M34+F34</f>
        <v>2131.4500000000003</v>
      </c>
      <c r="F34" s="111">
        <f>F35+F36+F37+F38</f>
        <v>85.55</v>
      </c>
      <c r="G34" s="158">
        <f>E34-F34</f>
        <v>2045.9000000000003</v>
      </c>
      <c r="H34" s="111">
        <f t="shared" ref="H34:N34" si="27">H35+H36+H37+H38</f>
        <v>0</v>
      </c>
      <c r="I34" s="111">
        <f t="shared" si="27"/>
        <v>0</v>
      </c>
      <c r="J34" s="111">
        <f t="shared" si="27"/>
        <v>0</v>
      </c>
      <c r="K34" s="111">
        <f t="shared" si="27"/>
        <v>2045.9</v>
      </c>
      <c r="L34" s="111">
        <f t="shared" si="27"/>
        <v>0</v>
      </c>
      <c r="M34" s="111">
        <f t="shared" si="27"/>
        <v>0</v>
      </c>
      <c r="N34" s="111">
        <f t="shared" si="27"/>
        <v>0</v>
      </c>
      <c r="O34" s="112">
        <f t="shared" si="13"/>
        <v>2045.9</v>
      </c>
      <c r="P34" s="113" t="s">
        <v>85</v>
      </c>
      <c r="Q34" s="176" t="s">
        <v>217</v>
      </c>
    </row>
    <row r="35" spans="1:17" s="27" customFormat="1" ht="27.75" customHeight="1" x14ac:dyDescent="0.25">
      <c r="A35" s="153"/>
      <c r="B35" s="153"/>
      <c r="C35" s="174"/>
      <c r="D35" s="177"/>
      <c r="E35" s="180"/>
      <c r="F35" s="114"/>
      <c r="G35" s="159"/>
      <c r="H35" s="115">
        <v>0</v>
      </c>
      <c r="I35" s="115">
        <v>0</v>
      </c>
      <c r="J35" s="115">
        <v>0</v>
      </c>
      <c r="K35" s="115">
        <v>2045.9</v>
      </c>
      <c r="L35" s="115">
        <v>0</v>
      </c>
      <c r="M35" s="115">
        <v>0</v>
      </c>
      <c r="N35" s="115">
        <v>0</v>
      </c>
      <c r="O35" s="112">
        <f t="shared" si="13"/>
        <v>2045.9</v>
      </c>
      <c r="P35" s="113" t="s">
        <v>86</v>
      </c>
      <c r="Q35" s="177"/>
    </row>
    <row r="36" spans="1:17" s="27" customFormat="1" ht="27" customHeight="1" x14ac:dyDescent="0.25">
      <c r="A36" s="153"/>
      <c r="B36" s="153"/>
      <c r="C36" s="174"/>
      <c r="D36" s="177"/>
      <c r="E36" s="180"/>
      <c r="F36" s="114"/>
      <c r="G36" s="159"/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2">
        <f t="shared" si="13"/>
        <v>0</v>
      </c>
      <c r="P36" s="113" t="s">
        <v>87</v>
      </c>
      <c r="Q36" s="177"/>
    </row>
    <row r="37" spans="1:17" s="27" customFormat="1" ht="24" customHeight="1" x14ac:dyDescent="0.25">
      <c r="A37" s="153"/>
      <c r="B37" s="153"/>
      <c r="C37" s="174"/>
      <c r="D37" s="177"/>
      <c r="E37" s="180"/>
      <c r="F37" s="114"/>
      <c r="G37" s="159"/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2">
        <f t="shared" si="13"/>
        <v>0</v>
      </c>
      <c r="P37" s="113" t="s">
        <v>88</v>
      </c>
      <c r="Q37" s="177"/>
    </row>
    <row r="38" spans="1:17" s="27" customFormat="1" ht="24.75" customHeight="1" x14ac:dyDescent="0.25">
      <c r="A38" s="154"/>
      <c r="B38" s="154"/>
      <c r="C38" s="175"/>
      <c r="D38" s="178"/>
      <c r="E38" s="181"/>
      <c r="F38" s="115">
        <v>85.55</v>
      </c>
      <c r="G38" s="160"/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2">
        <f t="shared" si="13"/>
        <v>0</v>
      </c>
      <c r="P38" s="113" t="s">
        <v>89</v>
      </c>
      <c r="Q38" s="178"/>
    </row>
    <row r="39" spans="1:17" s="27" customFormat="1" ht="26.25" customHeight="1" x14ac:dyDescent="0.25">
      <c r="A39" s="152">
        <v>7</v>
      </c>
      <c r="B39" s="152" t="s">
        <v>228</v>
      </c>
      <c r="C39" s="170" t="s">
        <v>229</v>
      </c>
      <c r="D39" s="164" t="s">
        <v>116</v>
      </c>
      <c r="E39" s="146">
        <f>H39+I39+J39+K39+L39+N39+M39</f>
        <v>5850</v>
      </c>
      <c r="F39" s="66"/>
      <c r="G39" s="158">
        <f>E39-F39</f>
        <v>5850</v>
      </c>
      <c r="H39" s="43">
        <f t="shared" ref="H39:N39" si="28">H40+H41+H42+H43</f>
        <v>3900</v>
      </c>
      <c r="I39" s="43">
        <f t="shared" si="28"/>
        <v>0</v>
      </c>
      <c r="J39" s="43">
        <f t="shared" si="28"/>
        <v>0</v>
      </c>
      <c r="K39" s="43">
        <f t="shared" si="28"/>
        <v>0</v>
      </c>
      <c r="L39" s="43">
        <f t="shared" si="28"/>
        <v>1950</v>
      </c>
      <c r="M39" s="43">
        <f t="shared" si="28"/>
        <v>0</v>
      </c>
      <c r="N39" s="43">
        <f t="shared" si="28"/>
        <v>0</v>
      </c>
      <c r="O39" s="37">
        <f t="shared" si="13"/>
        <v>5850</v>
      </c>
      <c r="P39" s="40" t="s">
        <v>85</v>
      </c>
      <c r="Q39" s="164" t="s">
        <v>230</v>
      </c>
    </row>
    <row r="40" spans="1:17" s="27" customFormat="1" ht="25.5" customHeight="1" x14ac:dyDescent="0.25">
      <c r="A40" s="153"/>
      <c r="B40" s="153"/>
      <c r="C40" s="171"/>
      <c r="D40" s="165"/>
      <c r="E40" s="147"/>
      <c r="F40" s="66"/>
      <c r="G40" s="159"/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37">
        <f t="shared" si="13"/>
        <v>0</v>
      </c>
      <c r="P40" s="40" t="s">
        <v>86</v>
      </c>
      <c r="Q40" s="165"/>
    </row>
    <row r="41" spans="1:17" s="27" customFormat="1" ht="25.5" customHeight="1" x14ac:dyDescent="0.25">
      <c r="A41" s="153"/>
      <c r="B41" s="153"/>
      <c r="C41" s="171"/>
      <c r="D41" s="165"/>
      <c r="E41" s="147"/>
      <c r="F41" s="66"/>
      <c r="G41" s="159"/>
      <c r="H41" s="42">
        <v>3500</v>
      </c>
      <c r="I41" s="42">
        <v>0</v>
      </c>
      <c r="J41" s="42">
        <v>0</v>
      </c>
      <c r="K41" s="42">
        <v>0</v>
      </c>
      <c r="L41" s="42">
        <v>1750</v>
      </c>
      <c r="M41" s="42">
        <v>0</v>
      </c>
      <c r="N41" s="42">
        <v>0</v>
      </c>
      <c r="O41" s="37">
        <f t="shared" si="13"/>
        <v>5250</v>
      </c>
      <c r="P41" s="40" t="s">
        <v>87</v>
      </c>
      <c r="Q41" s="165"/>
    </row>
    <row r="42" spans="1:17" s="27" customFormat="1" ht="25.5" customHeight="1" x14ac:dyDescent="0.25">
      <c r="A42" s="153"/>
      <c r="B42" s="153"/>
      <c r="C42" s="171"/>
      <c r="D42" s="165"/>
      <c r="E42" s="147"/>
      <c r="F42" s="66"/>
      <c r="G42" s="159"/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37">
        <f t="shared" si="13"/>
        <v>0</v>
      </c>
      <c r="P42" s="40" t="s">
        <v>88</v>
      </c>
      <c r="Q42" s="165"/>
    </row>
    <row r="43" spans="1:17" s="27" customFormat="1" ht="27.75" customHeight="1" x14ac:dyDescent="0.25">
      <c r="A43" s="154"/>
      <c r="B43" s="154"/>
      <c r="C43" s="172"/>
      <c r="D43" s="166"/>
      <c r="E43" s="148"/>
      <c r="F43" s="66"/>
      <c r="G43" s="160"/>
      <c r="H43" s="42">
        <v>400</v>
      </c>
      <c r="I43" s="42">
        <v>0</v>
      </c>
      <c r="J43" s="42">
        <v>0</v>
      </c>
      <c r="K43" s="42">
        <v>0</v>
      </c>
      <c r="L43" s="42">
        <v>200</v>
      </c>
      <c r="M43" s="42">
        <v>0</v>
      </c>
      <c r="N43" s="42">
        <v>0</v>
      </c>
      <c r="O43" s="37">
        <f t="shared" si="13"/>
        <v>600</v>
      </c>
      <c r="P43" s="40" t="s">
        <v>89</v>
      </c>
      <c r="Q43" s="166"/>
    </row>
    <row r="44" spans="1:17" s="35" customFormat="1" ht="27.75" customHeight="1" x14ac:dyDescent="0.25">
      <c r="A44" s="152">
        <v>8</v>
      </c>
      <c r="B44" s="152" t="s">
        <v>231</v>
      </c>
      <c r="C44" s="152" t="s">
        <v>223</v>
      </c>
      <c r="D44" s="91"/>
      <c r="E44" s="146">
        <f>H44+I44+J44+K44+L44+N44+M44</f>
        <v>4290</v>
      </c>
      <c r="F44" s="66"/>
      <c r="G44" s="158">
        <f>E44-F44</f>
        <v>4290</v>
      </c>
      <c r="H44" s="39">
        <f t="shared" ref="H44:M44" si="29">H46+H47+H48</f>
        <v>500</v>
      </c>
      <c r="I44" s="39">
        <f t="shared" si="29"/>
        <v>500</v>
      </c>
      <c r="J44" s="39">
        <f t="shared" si="29"/>
        <v>600</v>
      </c>
      <c r="K44" s="39">
        <f t="shared" si="29"/>
        <v>600</v>
      </c>
      <c r="L44" s="39">
        <f t="shared" si="29"/>
        <v>620</v>
      </c>
      <c r="M44" s="39">
        <f t="shared" si="29"/>
        <v>720</v>
      </c>
      <c r="N44" s="39">
        <f>N46+N47+N48</f>
        <v>750</v>
      </c>
      <c r="O44" s="37">
        <f t="shared" si="13"/>
        <v>4290</v>
      </c>
      <c r="P44" s="40" t="s">
        <v>85</v>
      </c>
      <c r="Q44" s="164" t="s">
        <v>100</v>
      </c>
    </row>
    <row r="45" spans="1:17" s="27" customFormat="1" ht="29.25" customHeight="1" x14ac:dyDescent="0.25">
      <c r="A45" s="153"/>
      <c r="B45" s="153"/>
      <c r="C45" s="153"/>
      <c r="D45" s="92"/>
      <c r="E45" s="147"/>
      <c r="F45" s="66"/>
      <c r="G45" s="159"/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37">
        <f t="shared" si="13"/>
        <v>0</v>
      </c>
      <c r="P45" s="40" t="s">
        <v>86</v>
      </c>
      <c r="Q45" s="165"/>
    </row>
    <row r="46" spans="1:17" s="27" customFormat="1" ht="24.75" customHeight="1" x14ac:dyDescent="0.25">
      <c r="A46" s="153"/>
      <c r="B46" s="153"/>
      <c r="C46" s="153"/>
      <c r="D46" s="92"/>
      <c r="E46" s="147"/>
      <c r="F46" s="66"/>
      <c r="G46" s="159"/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37">
        <f t="shared" si="13"/>
        <v>0</v>
      </c>
      <c r="P46" s="40" t="s">
        <v>87</v>
      </c>
      <c r="Q46" s="165"/>
    </row>
    <row r="47" spans="1:17" s="27" customFormat="1" ht="24.75" customHeight="1" x14ac:dyDescent="0.25">
      <c r="A47" s="153"/>
      <c r="B47" s="153"/>
      <c r="C47" s="153"/>
      <c r="D47" s="92"/>
      <c r="E47" s="147"/>
      <c r="F47" s="66"/>
      <c r="G47" s="159"/>
      <c r="H47" s="41">
        <v>200</v>
      </c>
      <c r="I47" s="41">
        <v>200</v>
      </c>
      <c r="J47" s="41">
        <v>250</v>
      </c>
      <c r="K47" s="41">
        <v>250</v>
      </c>
      <c r="L47" s="41">
        <v>270</v>
      </c>
      <c r="M47" s="41">
        <v>320</v>
      </c>
      <c r="N47" s="41">
        <v>350</v>
      </c>
      <c r="O47" s="37">
        <f t="shared" si="13"/>
        <v>1840</v>
      </c>
      <c r="P47" s="40" t="s">
        <v>88</v>
      </c>
      <c r="Q47" s="165"/>
    </row>
    <row r="48" spans="1:17" s="27" customFormat="1" ht="25.5" customHeight="1" x14ac:dyDescent="0.25">
      <c r="A48" s="154"/>
      <c r="B48" s="154"/>
      <c r="C48" s="154"/>
      <c r="D48" s="93"/>
      <c r="E48" s="148"/>
      <c r="F48" s="66"/>
      <c r="G48" s="160"/>
      <c r="H48" s="41">
        <v>300</v>
      </c>
      <c r="I48" s="41">
        <v>300</v>
      </c>
      <c r="J48" s="41">
        <v>350</v>
      </c>
      <c r="K48" s="41">
        <v>350</v>
      </c>
      <c r="L48" s="41">
        <v>350</v>
      </c>
      <c r="M48" s="41">
        <v>400</v>
      </c>
      <c r="N48" s="41">
        <v>400</v>
      </c>
      <c r="O48" s="37">
        <f t="shared" si="13"/>
        <v>2450</v>
      </c>
      <c r="P48" s="40" t="s">
        <v>89</v>
      </c>
      <c r="Q48" s="166"/>
    </row>
    <row r="49" spans="1:17" s="27" customFormat="1" ht="25.5" customHeight="1" x14ac:dyDescent="0.25">
      <c r="A49" s="117" t="s">
        <v>101</v>
      </c>
      <c r="B49" s="118"/>
      <c r="C49" s="118"/>
      <c r="D49" s="118"/>
      <c r="E49" s="44">
        <f t="shared" ref="E49:N49" si="30">E55+E60+E65+E70</f>
        <v>13457.272000000001</v>
      </c>
      <c r="F49" s="44">
        <f t="shared" si="30"/>
        <v>5238.2460000000001</v>
      </c>
      <c r="G49" s="44">
        <f t="shared" si="30"/>
        <v>8219.0260000000017</v>
      </c>
      <c r="H49" s="44">
        <f t="shared" si="30"/>
        <v>5239.0259999999998</v>
      </c>
      <c r="I49" s="44">
        <f t="shared" si="30"/>
        <v>1280</v>
      </c>
      <c r="J49" s="44">
        <f t="shared" si="30"/>
        <v>300</v>
      </c>
      <c r="K49" s="44">
        <f t="shared" si="30"/>
        <v>300</v>
      </c>
      <c r="L49" s="44">
        <f t="shared" si="30"/>
        <v>350</v>
      </c>
      <c r="M49" s="44">
        <f t="shared" si="30"/>
        <v>350</v>
      </c>
      <c r="N49" s="44">
        <f t="shared" si="30"/>
        <v>400</v>
      </c>
      <c r="O49" s="37">
        <f t="shared" si="13"/>
        <v>8219.0259999999998</v>
      </c>
      <c r="P49" s="45"/>
      <c r="Q49" s="46"/>
    </row>
    <row r="50" spans="1:17" s="27" customFormat="1" ht="31.5" customHeight="1" x14ac:dyDescent="0.25">
      <c r="A50" s="149">
        <v>9</v>
      </c>
      <c r="B50" s="152" t="s">
        <v>233</v>
      </c>
      <c r="C50" s="149">
        <v>2024</v>
      </c>
      <c r="D50" s="155" t="s">
        <v>84</v>
      </c>
      <c r="E50" s="146">
        <f>H50+I50+J50+K50+L50+M50+N50</f>
        <v>200</v>
      </c>
      <c r="F50" s="66"/>
      <c r="G50" s="158">
        <f>E50-F50</f>
        <v>200</v>
      </c>
      <c r="H50" s="39">
        <f>H51+H52+H53+H54</f>
        <v>0</v>
      </c>
      <c r="I50" s="39">
        <f t="shared" ref="I50:N50" si="31">I51+I52+I53+I54</f>
        <v>0</v>
      </c>
      <c r="J50" s="39">
        <f t="shared" si="31"/>
        <v>0</v>
      </c>
      <c r="K50" s="39">
        <f t="shared" si="31"/>
        <v>200</v>
      </c>
      <c r="L50" s="39">
        <f t="shared" si="31"/>
        <v>0</v>
      </c>
      <c r="M50" s="39">
        <f t="shared" si="31"/>
        <v>0</v>
      </c>
      <c r="N50" s="39">
        <f t="shared" si="31"/>
        <v>0</v>
      </c>
      <c r="O50" s="37">
        <f t="shared" ref="O50:O54" si="32">I50+J50+K50+L50+N50+M50+H50</f>
        <v>200</v>
      </c>
      <c r="P50" s="40" t="s">
        <v>85</v>
      </c>
      <c r="Q50" s="152" t="s">
        <v>234</v>
      </c>
    </row>
    <row r="51" spans="1:17" s="27" customFormat="1" ht="28.5" customHeight="1" x14ac:dyDescent="0.25">
      <c r="A51" s="150"/>
      <c r="B51" s="153"/>
      <c r="C51" s="150"/>
      <c r="D51" s="156"/>
      <c r="E51" s="147"/>
      <c r="F51" s="66"/>
      <c r="G51" s="159"/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37">
        <f t="shared" si="32"/>
        <v>0</v>
      </c>
      <c r="P51" s="40" t="s">
        <v>86</v>
      </c>
      <c r="Q51" s="153"/>
    </row>
    <row r="52" spans="1:17" s="27" customFormat="1" ht="26.25" customHeight="1" x14ac:dyDescent="0.25">
      <c r="A52" s="150"/>
      <c r="B52" s="153"/>
      <c r="C52" s="150"/>
      <c r="D52" s="156"/>
      <c r="E52" s="147"/>
      <c r="F52" s="66"/>
      <c r="G52" s="159"/>
      <c r="H52" s="41">
        <v>0</v>
      </c>
      <c r="I52" s="41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37">
        <f t="shared" si="32"/>
        <v>0</v>
      </c>
      <c r="P52" s="40" t="s">
        <v>87</v>
      </c>
      <c r="Q52" s="153"/>
    </row>
    <row r="53" spans="1:17" s="27" customFormat="1" ht="27" customHeight="1" x14ac:dyDescent="0.25">
      <c r="A53" s="150"/>
      <c r="B53" s="153"/>
      <c r="C53" s="150"/>
      <c r="D53" s="156"/>
      <c r="E53" s="147"/>
      <c r="F53" s="66"/>
      <c r="G53" s="159"/>
      <c r="H53" s="41">
        <v>0</v>
      </c>
      <c r="I53" s="41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37">
        <f t="shared" si="32"/>
        <v>0</v>
      </c>
      <c r="P53" s="40" t="s">
        <v>88</v>
      </c>
      <c r="Q53" s="153"/>
    </row>
    <row r="54" spans="1:17" s="27" customFormat="1" ht="27.75" customHeight="1" x14ac:dyDescent="0.25">
      <c r="A54" s="151"/>
      <c r="B54" s="154"/>
      <c r="C54" s="151"/>
      <c r="D54" s="157"/>
      <c r="E54" s="148"/>
      <c r="F54" s="66"/>
      <c r="G54" s="160"/>
      <c r="H54" s="41">
        <v>0</v>
      </c>
      <c r="I54" s="41">
        <v>0</v>
      </c>
      <c r="J54" s="47">
        <v>0</v>
      </c>
      <c r="K54" s="47">
        <v>200</v>
      </c>
      <c r="L54" s="47">
        <v>0</v>
      </c>
      <c r="M54" s="47">
        <v>0</v>
      </c>
      <c r="N54" s="47">
        <v>0</v>
      </c>
      <c r="O54" s="37">
        <f t="shared" si="32"/>
        <v>200</v>
      </c>
      <c r="P54" s="40" t="s">
        <v>89</v>
      </c>
      <c r="Q54" s="154"/>
    </row>
    <row r="55" spans="1:17" s="27" customFormat="1" ht="25.5" customHeight="1" x14ac:dyDescent="0.25">
      <c r="A55" s="149">
        <v>10</v>
      </c>
      <c r="B55" s="152" t="s">
        <v>232</v>
      </c>
      <c r="C55" s="152" t="s">
        <v>235</v>
      </c>
      <c r="D55" s="155" t="s">
        <v>84</v>
      </c>
      <c r="E55" s="146">
        <f>H55+I55+J55+K55+L55+M55+N55+F55</f>
        <v>8727.2720000000008</v>
      </c>
      <c r="F55" s="65">
        <f>F56+F57+F58+F59</f>
        <v>5238.2460000000001</v>
      </c>
      <c r="G55" s="158">
        <f t="shared" ref="G55" si="33">E55-F55</f>
        <v>3489.0260000000007</v>
      </c>
      <c r="H55" s="39">
        <f>H56+H57+H58+H59</f>
        <v>3489.0259999999998</v>
      </c>
      <c r="I55" s="39">
        <f t="shared" ref="I55:N55" si="34">I56+I57+I58+I59</f>
        <v>0</v>
      </c>
      <c r="J55" s="39">
        <f t="shared" si="34"/>
        <v>0</v>
      </c>
      <c r="K55" s="39">
        <f t="shared" si="34"/>
        <v>0</v>
      </c>
      <c r="L55" s="39">
        <f t="shared" si="34"/>
        <v>0</v>
      </c>
      <c r="M55" s="39">
        <f t="shared" si="34"/>
        <v>0</v>
      </c>
      <c r="N55" s="39">
        <f t="shared" si="34"/>
        <v>0</v>
      </c>
      <c r="O55" s="37">
        <f t="shared" si="13"/>
        <v>3489.0259999999998</v>
      </c>
      <c r="P55" s="40" t="s">
        <v>85</v>
      </c>
      <c r="Q55" s="152" t="s">
        <v>236</v>
      </c>
    </row>
    <row r="56" spans="1:17" s="27" customFormat="1" ht="21.75" customHeight="1" x14ac:dyDescent="0.25">
      <c r="A56" s="150"/>
      <c r="B56" s="153"/>
      <c r="C56" s="153"/>
      <c r="D56" s="156"/>
      <c r="E56" s="147"/>
      <c r="F56" s="66"/>
      <c r="G56" s="159"/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37">
        <f t="shared" si="13"/>
        <v>0</v>
      </c>
      <c r="P56" s="40" t="s">
        <v>86</v>
      </c>
      <c r="Q56" s="153"/>
    </row>
    <row r="57" spans="1:17" s="27" customFormat="1" ht="27.75" customHeight="1" x14ac:dyDescent="0.25">
      <c r="A57" s="150"/>
      <c r="B57" s="153"/>
      <c r="C57" s="153"/>
      <c r="D57" s="156"/>
      <c r="E57" s="147"/>
      <c r="F57" s="66"/>
      <c r="G57" s="159"/>
      <c r="H57" s="41">
        <v>0</v>
      </c>
      <c r="I57" s="41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37">
        <f t="shared" si="13"/>
        <v>0</v>
      </c>
      <c r="P57" s="40" t="s">
        <v>87</v>
      </c>
      <c r="Q57" s="153"/>
    </row>
    <row r="58" spans="1:17" s="27" customFormat="1" ht="27.75" customHeight="1" x14ac:dyDescent="0.25">
      <c r="A58" s="150"/>
      <c r="B58" s="153"/>
      <c r="C58" s="153"/>
      <c r="D58" s="156"/>
      <c r="E58" s="147"/>
      <c r="F58" s="42">
        <v>5238.2460000000001</v>
      </c>
      <c r="G58" s="159"/>
      <c r="H58" s="41">
        <v>3489.0259999999998</v>
      </c>
      <c r="I58" s="41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37">
        <f t="shared" si="13"/>
        <v>3489.0259999999998</v>
      </c>
      <c r="P58" s="40" t="s">
        <v>88</v>
      </c>
      <c r="Q58" s="153"/>
    </row>
    <row r="59" spans="1:17" s="27" customFormat="1" ht="27.75" customHeight="1" x14ac:dyDescent="0.25">
      <c r="A59" s="151"/>
      <c r="B59" s="154"/>
      <c r="C59" s="154"/>
      <c r="D59" s="157"/>
      <c r="E59" s="148"/>
      <c r="F59" s="66"/>
      <c r="G59" s="160"/>
      <c r="H59" s="41">
        <v>0</v>
      </c>
      <c r="I59" s="41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37">
        <f t="shared" si="13"/>
        <v>0</v>
      </c>
      <c r="P59" s="40" t="s">
        <v>89</v>
      </c>
      <c r="Q59" s="154"/>
    </row>
    <row r="60" spans="1:17" s="27" customFormat="1" ht="30" customHeight="1" x14ac:dyDescent="0.25">
      <c r="A60" s="149">
        <v>11</v>
      </c>
      <c r="B60" s="152" t="s">
        <v>99</v>
      </c>
      <c r="C60" s="152" t="s">
        <v>223</v>
      </c>
      <c r="D60" s="94"/>
      <c r="E60" s="146">
        <f>H60+I60+J60+K60+L60+M60+N60+F60</f>
        <v>2230</v>
      </c>
      <c r="F60" s="66"/>
      <c r="G60" s="158">
        <f t="shared" ref="G60" si="35">E60-F60</f>
        <v>2230</v>
      </c>
      <c r="H60" s="48">
        <f>H61+H62+H63+H64</f>
        <v>250</v>
      </c>
      <c r="I60" s="48">
        <f t="shared" ref="I60:N60" si="36">I61+I62+I63+I64</f>
        <v>280</v>
      </c>
      <c r="J60" s="48">
        <f t="shared" si="36"/>
        <v>300</v>
      </c>
      <c r="K60" s="48">
        <f t="shared" si="36"/>
        <v>300</v>
      </c>
      <c r="L60" s="48">
        <f t="shared" si="36"/>
        <v>350</v>
      </c>
      <c r="M60" s="48">
        <f t="shared" si="36"/>
        <v>350</v>
      </c>
      <c r="N60" s="48">
        <f t="shared" si="36"/>
        <v>400</v>
      </c>
      <c r="O60" s="37">
        <f>I60+J60+K60+L60+N60+M60+H60</f>
        <v>2230</v>
      </c>
      <c r="P60" s="40" t="s">
        <v>85</v>
      </c>
      <c r="Q60" s="152" t="s">
        <v>102</v>
      </c>
    </row>
    <row r="61" spans="1:17" s="27" customFormat="1" ht="27" customHeight="1" x14ac:dyDescent="0.25">
      <c r="A61" s="150"/>
      <c r="B61" s="153"/>
      <c r="C61" s="153"/>
      <c r="D61" s="94"/>
      <c r="E61" s="147"/>
      <c r="F61" s="66"/>
      <c r="G61" s="159"/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37">
        <f t="shared" si="13"/>
        <v>0</v>
      </c>
      <c r="P61" s="40" t="s">
        <v>86</v>
      </c>
      <c r="Q61" s="153"/>
    </row>
    <row r="62" spans="1:17" s="27" customFormat="1" ht="27.75" customHeight="1" x14ac:dyDescent="0.25">
      <c r="A62" s="150"/>
      <c r="B62" s="153"/>
      <c r="C62" s="153"/>
      <c r="D62" s="94"/>
      <c r="E62" s="147"/>
      <c r="F62" s="66"/>
      <c r="G62" s="159"/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37">
        <f t="shared" si="13"/>
        <v>0</v>
      </c>
      <c r="P62" s="40" t="s">
        <v>87</v>
      </c>
      <c r="Q62" s="153"/>
    </row>
    <row r="63" spans="1:17" s="27" customFormat="1" ht="27.75" customHeight="1" x14ac:dyDescent="0.25">
      <c r="A63" s="150"/>
      <c r="B63" s="153"/>
      <c r="C63" s="153"/>
      <c r="D63" s="94"/>
      <c r="E63" s="147"/>
      <c r="F63" s="66"/>
      <c r="G63" s="159"/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37">
        <f t="shared" si="13"/>
        <v>0</v>
      </c>
      <c r="P63" s="40" t="s">
        <v>88</v>
      </c>
      <c r="Q63" s="153"/>
    </row>
    <row r="64" spans="1:17" s="27" customFormat="1" ht="27.75" customHeight="1" x14ac:dyDescent="0.25">
      <c r="A64" s="151"/>
      <c r="B64" s="154"/>
      <c r="C64" s="154"/>
      <c r="D64" s="94"/>
      <c r="E64" s="148"/>
      <c r="F64" s="66"/>
      <c r="G64" s="160"/>
      <c r="H64" s="47">
        <v>250</v>
      </c>
      <c r="I64" s="47">
        <v>280</v>
      </c>
      <c r="J64" s="47">
        <v>300</v>
      </c>
      <c r="K64" s="47">
        <v>300</v>
      </c>
      <c r="L64" s="47">
        <v>350</v>
      </c>
      <c r="M64" s="47">
        <v>350</v>
      </c>
      <c r="N64" s="47">
        <v>400</v>
      </c>
      <c r="O64" s="37">
        <f t="shared" si="13"/>
        <v>2230</v>
      </c>
      <c r="P64" s="40" t="s">
        <v>89</v>
      </c>
      <c r="Q64" s="154"/>
    </row>
    <row r="65" spans="1:17" s="27" customFormat="1" ht="26.25" customHeight="1" x14ac:dyDescent="0.25">
      <c r="A65" s="152">
        <v>12</v>
      </c>
      <c r="B65" s="167" t="s">
        <v>238</v>
      </c>
      <c r="C65" s="152">
        <v>2021</v>
      </c>
      <c r="D65" s="152" t="s">
        <v>84</v>
      </c>
      <c r="E65" s="146">
        <f>H65+I65+J65+K65+L65+N65</f>
        <v>1500</v>
      </c>
      <c r="F65" s="66"/>
      <c r="G65" s="143">
        <f>E65-F65</f>
        <v>1500</v>
      </c>
      <c r="H65" s="39">
        <f>H66+H67+H68+H69</f>
        <v>1500</v>
      </c>
      <c r="I65" s="39">
        <f t="shared" ref="I65:N65" si="37">I66+I67+I68+I69</f>
        <v>0</v>
      </c>
      <c r="J65" s="39">
        <f t="shared" si="37"/>
        <v>0</v>
      </c>
      <c r="K65" s="39">
        <f t="shared" si="37"/>
        <v>0</v>
      </c>
      <c r="L65" s="39">
        <f t="shared" si="37"/>
        <v>0</v>
      </c>
      <c r="M65" s="39">
        <f t="shared" si="37"/>
        <v>0</v>
      </c>
      <c r="N65" s="39">
        <f t="shared" si="37"/>
        <v>0</v>
      </c>
      <c r="O65" s="37">
        <f>I65+J65+K65+L65+N65+M65+H65</f>
        <v>1500</v>
      </c>
      <c r="P65" s="40" t="s">
        <v>85</v>
      </c>
      <c r="Q65" s="152" t="s">
        <v>237</v>
      </c>
    </row>
    <row r="66" spans="1:17" s="27" customFormat="1" ht="27" customHeight="1" x14ac:dyDescent="0.25">
      <c r="A66" s="153"/>
      <c r="B66" s="168"/>
      <c r="C66" s="153"/>
      <c r="D66" s="153"/>
      <c r="E66" s="147"/>
      <c r="F66" s="66"/>
      <c r="G66" s="144"/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37">
        <f t="shared" si="13"/>
        <v>0</v>
      </c>
      <c r="P66" s="40" t="s">
        <v>86</v>
      </c>
      <c r="Q66" s="153"/>
    </row>
    <row r="67" spans="1:17" s="27" customFormat="1" ht="28.5" customHeight="1" x14ac:dyDescent="0.25">
      <c r="A67" s="153"/>
      <c r="B67" s="168"/>
      <c r="C67" s="153"/>
      <c r="D67" s="153"/>
      <c r="E67" s="147"/>
      <c r="F67" s="66"/>
      <c r="G67" s="144"/>
      <c r="H67" s="41">
        <v>1200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37">
        <f t="shared" si="13"/>
        <v>1200</v>
      </c>
      <c r="P67" s="40" t="s">
        <v>87</v>
      </c>
      <c r="Q67" s="153"/>
    </row>
    <row r="68" spans="1:17" s="27" customFormat="1" ht="26.25" customHeight="1" x14ac:dyDescent="0.25">
      <c r="A68" s="153"/>
      <c r="B68" s="168"/>
      <c r="C68" s="153"/>
      <c r="D68" s="153"/>
      <c r="E68" s="147"/>
      <c r="F68" s="66"/>
      <c r="G68" s="144"/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37">
        <f t="shared" si="13"/>
        <v>0</v>
      </c>
      <c r="P68" s="40" t="s">
        <v>88</v>
      </c>
      <c r="Q68" s="153"/>
    </row>
    <row r="69" spans="1:17" s="27" customFormat="1" ht="26.25" customHeight="1" x14ac:dyDescent="0.25">
      <c r="A69" s="154"/>
      <c r="B69" s="169"/>
      <c r="C69" s="154"/>
      <c r="D69" s="154"/>
      <c r="E69" s="148"/>
      <c r="F69" s="66"/>
      <c r="G69" s="145"/>
      <c r="H69" s="41">
        <v>300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37">
        <f t="shared" si="13"/>
        <v>300</v>
      </c>
      <c r="P69" s="40" t="s">
        <v>89</v>
      </c>
      <c r="Q69" s="154"/>
    </row>
    <row r="70" spans="1:17" s="27" customFormat="1" ht="25.5" customHeight="1" x14ac:dyDescent="0.25">
      <c r="A70" s="152">
        <v>13</v>
      </c>
      <c r="B70" s="152" t="s">
        <v>103</v>
      </c>
      <c r="C70" s="152">
        <v>2020</v>
      </c>
      <c r="D70" s="152" t="s">
        <v>84</v>
      </c>
      <c r="E70" s="146">
        <f>H70+I70+J70+K70+L70+N70</f>
        <v>1000</v>
      </c>
      <c r="F70" s="66"/>
      <c r="G70" s="143">
        <f>E70-F70</f>
        <v>1000</v>
      </c>
      <c r="H70" s="39">
        <f>H71+H72+H73+H74</f>
        <v>0</v>
      </c>
      <c r="I70" s="39">
        <f t="shared" ref="I70:N70" si="38">I71+I72+I73+I74</f>
        <v>1000</v>
      </c>
      <c r="J70" s="39">
        <f t="shared" si="38"/>
        <v>0</v>
      </c>
      <c r="K70" s="39">
        <f t="shared" si="38"/>
        <v>0</v>
      </c>
      <c r="L70" s="39">
        <f t="shared" si="38"/>
        <v>0</v>
      </c>
      <c r="M70" s="39">
        <f t="shared" si="38"/>
        <v>0</v>
      </c>
      <c r="N70" s="39">
        <f t="shared" si="38"/>
        <v>0</v>
      </c>
      <c r="O70" s="37">
        <f t="shared" si="13"/>
        <v>1000</v>
      </c>
      <c r="P70" s="40" t="s">
        <v>85</v>
      </c>
      <c r="Q70" s="152" t="s">
        <v>104</v>
      </c>
    </row>
    <row r="71" spans="1:17" s="27" customFormat="1" ht="25.5" customHeight="1" x14ac:dyDescent="0.25">
      <c r="A71" s="153"/>
      <c r="B71" s="153"/>
      <c r="C71" s="153"/>
      <c r="D71" s="153"/>
      <c r="E71" s="147"/>
      <c r="F71" s="66"/>
      <c r="G71" s="144"/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37">
        <f t="shared" si="13"/>
        <v>0</v>
      </c>
      <c r="P71" s="40" t="s">
        <v>86</v>
      </c>
      <c r="Q71" s="153"/>
    </row>
    <row r="72" spans="1:17" s="27" customFormat="1" ht="25.5" customHeight="1" x14ac:dyDescent="0.25">
      <c r="A72" s="153"/>
      <c r="B72" s="153"/>
      <c r="C72" s="153"/>
      <c r="D72" s="153"/>
      <c r="E72" s="147"/>
      <c r="F72" s="66"/>
      <c r="G72" s="144"/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37">
        <f t="shared" si="13"/>
        <v>0</v>
      </c>
      <c r="P72" s="40" t="s">
        <v>87</v>
      </c>
      <c r="Q72" s="153"/>
    </row>
    <row r="73" spans="1:17" s="27" customFormat="1" ht="25.5" customHeight="1" x14ac:dyDescent="0.25">
      <c r="A73" s="153"/>
      <c r="B73" s="153"/>
      <c r="C73" s="153"/>
      <c r="D73" s="153"/>
      <c r="E73" s="147"/>
      <c r="F73" s="66"/>
      <c r="G73" s="144"/>
      <c r="H73" s="41">
        <v>0</v>
      </c>
      <c r="I73" s="41">
        <v>800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37">
        <f t="shared" ref="O73:O136" si="39">I73+J73+K73+L73+N73+M73+H73</f>
        <v>800</v>
      </c>
      <c r="P73" s="40" t="s">
        <v>88</v>
      </c>
      <c r="Q73" s="153"/>
    </row>
    <row r="74" spans="1:17" s="27" customFormat="1" ht="25.5" customHeight="1" x14ac:dyDescent="0.25">
      <c r="A74" s="154"/>
      <c r="B74" s="154"/>
      <c r="C74" s="154"/>
      <c r="D74" s="154"/>
      <c r="E74" s="148"/>
      <c r="F74" s="66"/>
      <c r="G74" s="145"/>
      <c r="H74" s="41">
        <v>0</v>
      </c>
      <c r="I74" s="41">
        <v>200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37">
        <f t="shared" si="39"/>
        <v>200</v>
      </c>
      <c r="P74" s="40" t="s">
        <v>89</v>
      </c>
      <c r="Q74" s="154"/>
    </row>
    <row r="75" spans="1:17" s="27" customFormat="1" ht="25.5" customHeight="1" x14ac:dyDescent="0.25">
      <c r="A75" s="117" t="s">
        <v>105</v>
      </c>
      <c r="B75" s="118"/>
      <c r="C75" s="118"/>
      <c r="D75" s="118"/>
      <c r="E75" s="50">
        <f>E76+E81+E86+E91</f>
        <v>34060.408450000003</v>
      </c>
      <c r="F75" s="50">
        <f>F76+F81+F86+F91</f>
        <v>1136.50845</v>
      </c>
      <c r="G75" s="50">
        <f>G76+G81+G86+G91</f>
        <v>32923.9</v>
      </c>
      <c r="H75" s="50">
        <f t="shared" ref="H75:N75" si="40">H76+H81+H86+H91</f>
        <v>3200</v>
      </c>
      <c r="I75" s="50">
        <f t="shared" si="40"/>
        <v>8200</v>
      </c>
      <c r="J75" s="50">
        <f t="shared" si="40"/>
        <v>8250</v>
      </c>
      <c r="K75" s="50">
        <f t="shared" si="40"/>
        <v>5250</v>
      </c>
      <c r="L75" s="50">
        <f t="shared" si="40"/>
        <v>5300</v>
      </c>
      <c r="M75" s="50">
        <f t="shared" si="40"/>
        <v>2373.9</v>
      </c>
      <c r="N75" s="50">
        <f t="shared" si="40"/>
        <v>350</v>
      </c>
      <c r="O75" s="37">
        <f>I75+J75+K75+L75+N75+M75+H75</f>
        <v>32923.9</v>
      </c>
      <c r="P75" s="49"/>
      <c r="Q75" s="38"/>
    </row>
    <row r="76" spans="1:17" s="27" customFormat="1" ht="28.5" customHeight="1" x14ac:dyDescent="0.25">
      <c r="A76" s="152">
        <v>14</v>
      </c>
      <c r="B76" s="152" t="s">
        <v>239</v>
      </c>
      <c r="C76" s="152">
        <v>2022</v>
      </c>
      <c r="D76" s="152" t="s">
        <v>84</v>
      </c>
      <c r="E76" s="146">
        <f>H76+I76+J76+K76+L76+M76+N76+F76</f>
        <v>3000</v>
      </c>
      <c r="F76" s="39"/>
      <c r="G76" s="143">
        <f>E76-F76</f>
        <v>3000</v>
      </c>
      <c r="H76" s="39">
        <f t="shared" ref="H76:N76" si="41">H77+H78+H79+H80</f>
        <v>0</v>
      </c>
      <c r="I76" s="39">
        <f t="shared" si="41"/>
        <v>3000</v>
      </c>
      <c r="J76" s="39">
        <f t="shared" si="41"/>
        <v>0</v>
      </c>
      <c r="K76" s="39">
        <f t="shared" si="41"/>
        <v>0</v>
      </c>
      <c r="L76" s="39">
        <f t="shared" si="41"/>
        <v>0</v>
      </c>
      <c r="M76" s="39">
        <f t="shared" si="41"/>
        <v>0</v>
      </c>
      <c r="N76" s="39">
        <f t="shared" si="41"/>
        <v>0</v>
      </c>
      <c r="O76" s="37">
        <f>I76+J76+K76+L76+N76+M76+H76</f>
        <v>3000</v>
      </c>
      <c r="P76" s="40" t="s">
        <v>85</v>
      </c>
      <c r="Q76" s="152" t="s">
        <v>106</v>
      </c>
    </row>
    <row r="77" spans="1:17" s="27" customFormat="1" ht="27.75" customHeight="1" x14ac:dyDescent="0.25">
      <c r="A77" s="153"/>
      <c r="B77" s="153"/>
      <c r="C77" s="153"/>
      <c r="D77" s="153"/>
      <c r="E77" s="147"/>
      <c r="F77" s="41"/>
      <c r="G77" s="144"/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37">
        <f t="shared" si="39"/>
        <v>0</v>
      </c>
      <c r="P77" s="40" t="s">
        <v>86</v>
      </c>
      <c r="Q77" s="153"/>
    </row>
    <row r="78" spans="1:17" s="27" customFormat="1" ht="25.5" customHeight="1" x14ac:dyDescent="0.25">
      <c r="A78" s="153"/>
      <c r="B78" s="153"/>
      <c r="C78" s="153"/>
      <c r="D78" s="153"/>
      <c r="E78" s="147"/>
      <c r="F78" s="41"/>
      <c r="G78" s="144"/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37">
        <f t="shared" si="39"/>
        <v>0</v>
      </c>
      <c r="P78" s="40" t="s">
        <v>87</v>
      </c>
      <c r="Q78" s="153"/>
    </row>
    <row r="79" spans="1:17" s="27" customFormat="1" ht="25.5" customHeight="1" x14ac:dyDescent="0.25">
      <c r="A79" s="153"/>
      <c r="B79" s="153"/>
      <c r="C79" s="153"/>
      <c r="D79" s="153"/>
      <c r="E79" s="147"/>
      <c r="F79" s="41"/>
      <c r="G79" s="144"/>
      <c r="H79" s="41">
        <v>0</v>
      </c>
      <c r="I79" s="41">
        <v>2500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37">
        <f t="shared" si="39"/>
        <v>2500</v>
      </c>
      <c r="P79" s="40" t="s">
        <v>88</v>
      </c>
      <c r="Q79" s="153"/>
    </row>
    <row r="80" spans="1:17" s="27" customFormat="1" ht="25.5" customHeight="1" x14ac:dyDescent="0.25">
      <c r="A80" s="154"/>
      <c r="B80" s="154"/>
      <c r="C80" s="154"/>
      <c r="D80" s="154"/>
      <c r="E80" s="148"/>
      <c r="F80" s="41"/>
      <c r="G80" s="145"/>
      <c r="H80" s="41">
        <v>0</v>
      </c>
      <c r="I80" s="41">
        <v>500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37">
        <f t="shared" si="39"/>
        <v>500</v>
      </c>
      <c r="P80" s="40" t="s">
        <v>89</v>
      </c>
      <c r="Q80" s="154"/>
    </row>
    <row r="81" spans="1:17" s="27" customFormat="1" ht="29.25" customHeight="1" x14ac:dyDescent="0.25">
      <c r="A81" s="152">
        <v>15</v>
      </c>
      <c r="B81" s="152" t="s">
        <v>107</v>
      </c>
      <c r="C81" s="152" t="s">
        <v>242</v>
      </c>
      <c r="D81" s="152" t="s">
        <v>84</v>
      </c>
      <c r="E81" s="146">
        <f>H81+I81+J81+K81+L81+M81+N81+F81</f>
        <v>26210.408450000003</v>
      </c>
      <c r="F81" s="39">
        <f>F82+F83+F84+F85</f>
        <v>1136.50845</v>
      </c>
      <c r="G81" s="143">
        <f>E81-F81</f>
        <v>25073.9</v>
      </c>
      <c r="H81" s="39">
        <f t="shared" ref="H81:N81" si="42">H82+H83+H84+H85</f>
        <v>3000</v>
      </c>
      <c r="I81" s="39">
        <f t="shared" si="42"/>
        <v>5000</v>
      </c>
      <c r="J81" s="39">
        <f t="shared" si="42"/>
        <v>5000</v>
      </c>
      <c r="K81" s="39">
        <f t="shared" si="42"/>
        <v>5000</v>
      </c>
      <c r="L81" s="39">
        <f t="shared" si="42"/>
        <v>5000</v>
      </c>
      <c r="M81" s="39">
        <f t="shared" si="42"/>
        <v>2073.9</v>
      </c>
      <c r="N81" s="39">
        <f t="shared" si="42"/>
        <v>0</v>
      </c>
      <c r="O81" s="37">
        <f t="shared" si="39"/>
        <v>25073.9</v>
      </c>
      <c r="P81" s="40" t="s">
        <v>85</v>
      </c>
      <c r="Q81" s="152" t="s">
        <v>244</v>
      </c>
    </row>
    <row r="82" spans="1:17" s="27" customFormat="1" ht="26.25" customHeight="1" x14ac:dyDescent="0.25">
      <c r="A82" s="153"/>
      <c r="B82" s="153"/>
      <c r="C82" s="153"/>
      <c r="D82" s="153"/>
      <c r="E82" s="147"/>
      <c r="F82" s="66"/>
      <c r="G82" s="144"/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37">
        <f t="shared" si="39"/>
        <v>0</v>
      </c>
      <c r="P82" s="40" t="s">
        <v>86</v>
      </c>
      <c r="Q82" s="153"/>
    </row>
    <row r="83" spans="1:17" s="27" customFormat="1" ht="25.5" customHeight="1" x14ac:dyDescent="0.25">
      <c r="A83" s="153"/>
      <c r="B83" s="153"/>
      <c r="C83" s="153"/>
      <c r="D83" s="153"/>
      <c r="E83" s="147"/>
      <c r="F83" s="66"/>
      <c r="G83" s="144"/>
      <c r="H83" s="41">
        <v>2500</v>
      </c>
      <c r="I83" s="41">
        <v>4000</v>
      </c>
      <c r="J83" s="41">
        <v>4000</v>
      </c>
      <c r="K83" s="41">
        <v>4000</v>
      </c>
      <c r="L83" s="41">
        <v>4000</v>
      </c>
      <c r="M83" s="41">
        <v>1573.9</v>
      </c>
      <c r="N83" s="41">
        <v>0</v>
      </c>
      <c r="O83" s="37">
        <f t="shared" si="39"/>
        <v>20073.900000000001</v>
      </c>
      <c r="P83" s="40" t="s">
        <v>87</v>
      </c>
      <c r="Q83" s="153"/>
    </row>
    <row r="84" spans="1:17" s="27" customFormat="1" ht="25.5" customHeight="1" x14ac:dyDescent="0.25">
      <c r="A84" s="153"/>
      <c r="B84" s="153"/>
      <c r="C84" s="153"/>
      <c r="D84" s="153"/>
      <c r="E84" s="147"/>
      <c r="F84" s="66"/>
      <c r="G84" s="144"/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37">
        <f t="shared" si="39"/>
        <v>0</v>
      </c>
      <c r="P84" s="40" t="s">
        <v>88</v>
      </c>
      <c r="Q84" s="153"/>
    </row>
    <row r="85" spans="1:17" s="27" customFormat="1" ht="23.25" customHeight="1" x14ac:dyDescent="0.25">
      <c r="A85" s="154"/>
      <c r="B85" s="154"/>
      <c r="C85" s="154"/>
      <c r="D85" s="154"/>
      <c r="E85" s="148"/>
      <c r="F85" s="41">
        <f>291.64572+811.27018+33.59255</f>
        <v>1136.50845</v>
      </c>
      <c r="G85" s="145"/>
      <c r="H85" s="41">
        <v>500</v>
      </c>
      <c r="I85" s="41">
        <v>1000</v>
      </c>
      <c r="J85" s="41">
        <v>1000</v>
      </c>
      <c r="K85" s="41">
        <v>1000</v>
      </c>
      <c r="L85" s="41">
        <v>1000</v>
      </c>
      <c r="M85" s="41">
        <v>500</v>
      </c>
      <c r="N85" s="41">
        <v>0</v>
      </c>
      <c r="O85" s="37">
        <f t="shared" si="39"/>
        <v>5000</v>
      </c>
      <c r="P85" s="40" t="s">
        <v>89</v>
      </c>
      <c r="Q85" s="154"/>
    </row>
    <row r="86" spans="1:17" s="27" customFormat="1" ht="26.45" customHeight="1" x14ac:dyDescent="0.25">
      <c r="A86" s="88"/>
      <c r="B86" s="152" t="s">
        <v>99</v>
      </c>
      <c r="C86" s="152" t="s">
        <v>223</v>
      </c>
      <c r="D86" s="164"/>
      <c r="E86" s="146">
        <f>H86+I86+J86+K86+L86+M86+N86+F86</f>
        <v>1850</v>
      </c>
      <c r="F86" s="66"/>
      <c r="G86" s="143">
        <f>E86-F86</f>
        <v>1850</v>
      </c>
      <c r="H86" s="39">
        <f t="shared" ref="H86:N86" si="43">H87+H88+H89+H90</f>
        <v>200</v>
      </c>
      <c r="I86" s="39">
        <f t="shared" si="43"/>
        <v>200</v>
      </c>
      <c r="J86" s="39">
        <f t="shared" si="43"/>
        <v>250</v>
      </c>
      <c r="K86" s="39">
        <f t="shared" si="43"/>
        <v>250</v>
      </c>
      <c r="L86" s="39">
        <f t="shared" si="43"/>
        <v>300</v>
      </c>
      <c r="M86" s="39">
        <f t="shared" si="43"/>
        <v>300</v>
      </c>
      <c r="N86" s="39">
        <f t="shared" si="43"/>
        <v>350</v>
      </c>
      <c r="O86" s="37">
        <f t="shared" si="39"/>
        <v>1850</v>
      </c>
      <c r="P86" s="40" t="s">
        <v>85</v>
      </c>
      <c r="Q86" s="152" t="s">
        <v>241</v>
      </c>
    </row>
    <row r="87" spans="1:17" s="27" customFormat="1" ht="29.45" customHeight="1" x14ac:dyDescent="0.25">
      <c r="A87" s="88"/>
      <c r="B87" s="153"/>
      <c r="C87" s="153"/>
      <c r="D87" s="165"/>
      <c r="E87" s="147"/>
      <c r="F87" s="66"/>
      <c r="G87" s="144"/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37">
        <f t="shared" si="39"/>
        <v>0</v>
      </c>
      <c r="P87" s="40" t="s">
        <v>86</v>
      </c>
      <c r="Q87" s="153"/>
    </row>
    <row r="88" spans="1:17" s="27" customFormat="1" ht="24" customHeight="1" x14ac:dyDescent="0.25">
      <c r="A88" s="88">
        <v>16</v>
      </c>
      <c r="B88" s="153"/>
      <c r="C88" s="153"/>
      <c r="D88" s="165"/>
      <c r="E88" s="147"/>
      <c r="F88" s="66"/>
      <c r="G88" s="144"/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37">
        <f t="shared" si="39"/>
        <v>0</v>
      </c>
      <c r="P88" s="40" t="s">
        <v>87</v>
      </c>
      <c r="Q88" s="153"/>
    </row>
    <row r="89" spans="1:17" s="27" customFormat="1" ht="21.6" customHeight="1" x14ac:dyDescent="0.25">
      <c r="A89" s="88"/>
      <c r="B89" s="153"/>
      <c r="C89" s="153"/>
      <c r="D89" s="165"/>
      <c r="E89" s="147"/>
      <c r="F89" s="66"/>
      <c r="G89" s="144"/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37">
        <f t="shared" si="39"/>
        <v>0</v>
      </c>
      <c r="P89" s="40" t="s">
        <v>88</v>
      </c>
      <c r="Q89" s="153"/>
    </row>
    <row r="90" spans="1:17" s="27" customFormat="1" ht="28.15" customHeight="1" x14ac:dyDescent="0.25">
      <c r="A90" s="88"/>
      <c r="B90" s="154"/>
      <c r="C90" s="154"/>
      <c r="D90" s="166"/>
      <c r="E90" s="148"/>
      <c r="F90" s="66"/>
      <c r="G90" s="145"/>
      <c r="H90" s="41">
        <v>200</v>
      </c>
      <c r="I90" s="41">
        <v>200</v>
      </c>
      <c r="J90" s="41">
        <v>250</v>
      </c>
      <c r="K90" s="41">
        <v>250</v>
      </c>
      <c r="L90" s="41">
        <v>300</v>
      </c>
      <c r="M90" s="41">
        <v>300</v>
      </c>
      <c r="N90" s="41">
        <v>350</v>
      </c>
      <c r="O90" s="37">
        <f t="shared" si="39"/>
        <v>1850</v>
      </c>
      <c r="P90" s="40" t="s">
        <v>89</v>
      </c>
      <c r="Q90" s="154"/>
    </row>
    <row r="91" spans="1:17" s="27" customFormat="1" ht="26.25" customHeight="1" x14ac:dyDescent="0.25">
      <c r="A91" s="152">
        <v>17</v>
      </c>
      <c r="B91" s="152" t="s">
        <v>240</v>
      </c>
      <c r="C91" s="152">
        <v>2023</v>
      </c>
      <c r="D91" s="152" t="s">
        <v>84</v>
      </c>
      <c r="E91" s="146">
        <f>H91+I91+J91+K91+L91+M91+N91+F91</f>
        <v>3000</v>
      </c>
      <c r="F91" s="66"/>
      <c r="G91" s="143">
        <f>E91-F91</f>
        <v>3000</v>
      </c>
      <c r="H91" s="39">
        <f t="shared" ref="H91:N91" si="44">H92+H93+H94+H95</f>
        <v>0</v>
      </c>
      <c r="I91" s="39">
        <f t="shared" si="44"/>
        <v>0</v>
      </c>
      <c r="J91" s="39">
        <f t="shared" si="44"/>
        <v>3000</v>
      </c>
      <c r="K91" s="39">
        <f t="shared" si="44"/>
        <v>0</v>
      </c>
      <c r="L91" s="39">
        <f t="shared" si="44"/>
        <v>0</v>
      </c>
      <c r="M91" s="39">
        <f t="shared" si="44"/>
        <v>0</v>
      </c>
      <c r="N91" s="39">
        <f t="shared" si="44"/>
        <v>0</v>
      </c>
      <c r="O91" s="37">
        <f t="shared" si="39"/>
        <v>3000</v>
      </c>
      <c r="P91" s="40" t="s">
        <v>85</v>
      </c>
      <c r="Q91" s="152" t="s">
        <v>245</v>
      </c>
    </row>
    <row r="92" spans="1:17" s="27" customFormat="1" ht="25.5" customHeight="1" x14ac:dyDescent="0.25">
      <c r="A92" s="153"/>
      <c r="B92" s="153"/>
      <c r="C92" s="153"/>
      <c r="D92" s="153"/>
      <c r="E92" s="147"/>
      <c r="F92" s="66"/>
      <c r="G92" s="144"/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37">
        <f t="shared" si="39"/>
        <v>0</v>
      </c>
      <c r="P92" s="40" t="s">
        <v>86</v>
      </c>
      <c r="Q92" s="153"/>
    </row>
    <row r="93" spans="1:17" s="27" customFormat="1" ht="27" customHeight="1" x14ac:dyDescent="0.25">
      <c r="A93" s="153"/>
      <c r="B93" s="153"/>
      <c r="C93" s="153"/>
      <c r="D93" s="153"/>
      <c r="E93" s="147"/>
      <c r="F93" s="66"/>
      <c r="G93" s="144"/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37">
        <f t="shared" si="39"/>
        <v>0</v>
      </c>
      <c r="P93" s="40" t="s">
        <v>87</v>
      </c>
      <c r="Q93" s="153"/>
    </row>
    <row r="94" spans="1:17" s="27" customFormat="1" ht="27.75" customHeight="1" x14ac:dyDescent="0.25">
      <c r="A94" s="153"/>
      <c r="B94" s="153"/>
      <c r="C94" s="153"/>
      <c r="D94" s="153"/>
      <c r="E94" s="147"/>
      <c r="F94" s="66"/>
      <c r="G94" s="144"/>
      <c r="H94" s="41">
        <v>0</v>
      </c>
      <c r="I94" s="41">
        <v>0</v>
      </c>
      <c r="J94" s="41">
        <v>2500</v>
      </c>
      <c r="K94" s="41">
        <v>0</v>
      </c>
      <c r="L94" s="41">
        <v>0</v>
      </c>
      <c r="M94" s="41">
        <v>0</v>
      </c>
      <c r="N94" s="41">
        <v>0</v>
      </c>
      <c r="O94" s="37">
        <f t="shared" si="39"/>
        <v>2500</v>
      </c>
      <c r="P94" s="40" t="s">
        <v>88</v>
      </c>
      <c r="Q94" s="153"/>
    </row>
    <row r="95" spans="1:17" s="27" customFormat="1" ht="27.75" customHeight="1" x14ac:dyDescent="0.25">
      <c r="A95" s="154"/>
      <c r="B95" s="154"/>
      <c r="C95" s="154"/>
      <c r="D95" s="154"/>
      <c r="E95" s="148"/>
      <c r="F95" s="66"/>
      <c r="G95" s="145"/>
      <c r="H95" s="41">
        <v>0</v>
      </c>
      <c r="I95" s="41">
        <v>0</v>
      </c>
      <c r="J95" s="41">
        <v>500</v>
      </c>
      <c r="K95" s="41">
        <v>0</v>
      </c>
      <c r="L95" s="41">
        <v>0</v>
      </c>
      <c r="M95" s="41">
        <v>0</v>
      </c>
      <c r="N95" s="41">
        <v>0</v>
      </c>
      <c r="O95" s="37">
        <f t="shared" si="39"/>
        <v>500</v>
      </c>
      <c r="P95" s="40" t="s">
        <v>89</v>
      </c>
      <c r="Q95" s="154"/>
    </row>
    <row r="96" spans="1:17" s="27" customFormat="1" ht="27.75" customHeight="1" x14ac:dyDescent="0.25">
      <c r="A96" s="89" t="s">
        <v>108</v>
      </c>
      <c r="B96" s="90"/>
      <c r="C96" s="90"/>
      <c r="D96" s="90"/>
      <c r="E96" s="37">
        <f>E97+E102+E107+E112+E117</f>
        <v>104410.90699999999</v>
      </c>
      <c r="F96" s="37">
        <f>F97+F102+F107+F112+F117</f>
        <v>9390.8070000000007</v>
      </c>
      <c r="G96" s="37">
        <f>G97+G102+G107+G112+G117</f>
        <v>95020.099999999991</v>
      </c>
      <c r="H96" s="37">
        <f>H97+H102+H107+H112+H117</f>
        <v>43055.1</v>
      </c>
      <c r="I96" s="37">
        <f t="shared" ref="I96:N96" si="45">I97+I102+I107+I112+I117</f>
        <v>20965</v>
      </c>
      <c r="J96" s="37">
        <f t="shared" si="45"/>
        <v>25850</v>
      </c>
      <c r="K96" s="37">
        <f t="shared" si="45"/>
        <v>950</v>
      </c>
      <c r="L96" s="37">
        <f t="shared" si="45"/>
        <v>1150</v>
      </c>
      <c r="M96" s="37">
        <f t="shared" si="45"/>
        <v>1400</v>
      </c>
      <c r="N96" s="37">
        <f t="shared" si="45"/>
        <v>1650</v>
      </c>
      <c r="O96" s="37">
        <f t="shared" si="39"/>
        <v>95020.1</v>
      </c>
      <c r="P96" s="51"/>
      <c r="Q96" s="52"/>
    </row>
    <row r="97" spans="1:21" s="27" customFormat="1" ht="23.25" customHeight="1" x14ac:dyDescent="0.25">
      <c r="A97" s="149">
        <v>18</v>
      </c>
      <c r="B97" s="152" t="s">
        <v>109</v>
      </c>
      <c r="C97" s="127" t="s">
        <v>223</v>
      </c>
      <c r="D97" s="127" t="s">
        <v>250</v>
      </c>
      <c r="E97" s="140">
        <f>H97+I97+J97+K97+L97+M97+N97</f>
        <v>4700</v>
      </c>
      <c r="F97" s="66"/>
      <c r="G97" s="143">
        <f>E97-F97</f>
        <v>4700</v>
      </c>
      <c r="H97" s="39">
        <f t="shared" ref="H97:N97" si="46">H98+H99+H100+H101</f>
        <v>150</v>
      </c>
      <c r="I97" s="39">
        <f t="shared" si="46"/>
        <v>250</v>
      </c>
      <c r="J97" s="39">
        <f t="shared" si="46"/>
        <v>600</v>
      </c>
      <c r="K97" s="39">
        <f t="shared" si="46"/>
        <v>700</v>
      </c>
      <c r="L97" s="39">
        <f t="shared" si="46"/>
        <v>900</v>
      </c>
      <c r="M97" s="39">
        <f t="shared" si="46"/>
        <v>1100</v>
      </c>
      <c r="N97" s="39">
        <f t="shared" si="46"/>
        <v>1000</v>
      </c>
      <c r="O97" s="37">
        <f t="shared" ref="O97:O101" si="47">I97+J97+K97+L97+N97+M97+H97</f>
        <v>4700</v>
      </c>
      <c r="P97" s="40" t="s">
        <v>85</v>
      </c>
      <c r="Q97" s="146" t="s">
        <v>110</v>
      </c>
      <c r="S97" s="53"/>
      <c r="U97" s="53"/>
    </row>
    <row r="98" spans="1:21" s="27" customFormat="1" ht="27.75" customHeight="1" x14ac:dyDescent="0.25">
      <c r="A98" s="150"/>
      <c r="B98" s="153"/>
      <c r="C98" s="128"/>
      <c r="D98" s="128"/>
      <c r="E98" s="141"/>
      <c r="F98" s="66"/>
      <c r="G98" s="144"/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37">
        <f t="shared" si="47"/>
        <v>0</v>
      </c>
      <c r="P98" s="40" t="s">
        <v>111</v>
      </c>
      <c r="Q98" s="147"/>
      <c r="S98" s="53"/>
      <c r="U98" s="53"/>
    </row>
    <row r="99" spans="1:21" s="27" customFormat="1" ht="27" customHeight="1" x14ac:dyDescent="0.25">
      <c r="A99" s="150"/>
      <c r="B99" s="153"/>
      <c r="C99" s="128"/>
      <c r="D99" s="128"/>
      <c r="E99" s="141"/>
      <c r="F99" s="66"/>
      <c r="G99" s="144"/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37">
        <f t="shared" si="47"/>
        <v>0</v>
      </c>
      <c r="P99" s="40" t="s">
        <v>87</v>
      </c>
      <c r="Q99" s="147"/>
      <c r="S99" s="53"/>
      <c r="U99" s="53"/>
    </row>
    <row r="100" spans="1:21" s="27" customFormat="1" ht="26.25" customHeight="1" x14ac:dyDescent="0.25">
      <c r="A100" s="150"/>
      <c r="B100" s="153"/>
      <c r="C100" s="128"/>
      <c r="D100" s="128"/>
      <c r="E100" s="141"/>
      <c r="F100" s="66"/>
      <c r="G100" s="144"/>
      <c r="H100" s="41">
        <v>0</v>
      </c>
      <c r="I100" s="41">
        <v>0</v>
      </c>
      <c r="J100" s="41">
        <v>300</v>
      </c>
      <c r="K100" s="41">
        <v>300</v>
      </c>
      <c r="L100" s="41">
        <v>300</v>
      </c>
      <c r="M100" s="41">
        <v>300</v>
      </c>
      <c r="N100" s="41">
        <v>0</v>
      </c>
      <c r="O100" s="37">
        <f t="shared" si="47"/>
        <v>1200</v>
      </c>
      <c r="P100" s="40" t="s">
        <v>88</v>
      </c>
      <c r="Q100" s="147"/>
      <c r="S100" s="53"/>
      <c r="U100" s="53"/>
    </row>
    <row r="101" spans="1:21" s="27" customFormat="1" ht="25.5" customHeight="1" x14ac:dyDescent="0.25">
      <c r="A101" s="151"/>
      <c r="B101" s="154"/>
      <c r="C101" s="129"/>
      <c r="D101" s="129"/>
      <c r="E101" s="142"/>
      <c r="F101" s="66"/>
      <c r="G101" s="145"/>
      <c r="H101" s="41">
        <v>150</v>
      </c>
      <c r="I101" s="41">
        <v>250</v>
      </c>
      <c r="J101" s="87">
        <v>300</v>
      </c>
      <c r="K101" s="41">
        <v>400</v>
      </c>
      <c r="L101" s="41">
        <v>600</v>
      </c>
      <c r="M101" s="41">
        <v>800</v>
      </c>
      <c r="N101" s="41">
        <v>1000</v>
      </c>
      <c r="O101" s="37">
        <f t="shared" si="47"/>
        <v>3500</v>
      </c>
      <c r="P101" s="40" t="s">
        <v>89</v>
      </c>
      <c r="Q101" s="148"/>
      <c r="S101" s="53"/>
      <c r="U101" s="53"/>
    </row>
    <row r="102" spans="1:21" s="27" customFormat="1" ht="30" customHeight="1" x14ac:dyDescent="0.25">
      <c r="A102" s="149">
        <v>19</v>
      </c>
      <c r="B102" s="152" t="s">
        <v>246</v>
      </c>
      <c r="C102" s="127" t="s">
        <v>223</v>
      </c>
      <c r="D102" s="127" t="s">
        <v>251</v>
      </c>
      <c r="E102" s="140">
        <f>H102+I102+J102+K102+L102+M102+N102</f>
        <v>83317.7</v>
      </c>
      <c r="F102" s="66"/>
      <c r="G102" s="143">
        <f t="shared" ref="G102" si="48">E102-F102</f>
        <v>83317.7</v>
      </c>
      <c r="H102" s="39">
        <f t="shared" ref="H102:N102" si="49">H103+H104+H105+H106</f>
        <v>37752.699999999997</v>
      </c>
      <c r="I102" s="39">
        <f t="shared" si="49"/>
        <v>20565</v>
      </c>
      <c r="J102" s="39">
        <f t="shared" si="49"/>
        <v>25000</v>
      </c>
      <c r="K102" s="39">
        <f t="shared" si="49"/>
        <v>0</v>
      </c>
      <c r="L102" s="39">
        <f t="shared" si="49"/>
        <v>0</v>
      </c>
      <c r="M102" s="39">
        <f t="shared" si="49"/>
        <v>0</v>
      </c>
      <c r="N102" s="39">
        <f t="shared" si="49"/>
        <v>0</v>
      </c>
      <c r="O102" s="37">
        <f t="shared" ref="O102:O106" si="50">I102+J102+K102+L102+N102+M102+H102</f>
        <v>83317.7</v>
      </c>
      <c r="P102" s="40" t="s">
        <v>85</v>
      </c>
      <c r="Q102" s="146" t="s">
        <v>110</v>
      </c>
    </row>
    <row r="103" spans="1:21" s="27" customFormat="1" ht="26.25" customHeight="1" x14ac:dyDescent="0.25">
      <c r="A103" s="150"/>
      <c r="B103" s="153"/>
      <c r="C103" s="128"/>
      <c r="D103" s="128"/>
      <c r="E103" s="141"/>
      <c r="F103" s="66"/>
      <c r="G103" s="144"/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37">
        <f t="shared" si="50"/>
        <v>0</v>
      </c>
      <c r="P103" s="40" t="s">
        <v>111</v>
      </c>
      <c r="Q103" s="147"/>
    </row>
    <row r="104" spans="1:21" s="27" customFormat="1" ht="24.75" customHeight="1" x14ac:dyDescent="0.25">
      <c r="A104" s="150"/>
      <c r="B104" s="153"/>
      <c r="C104" s="128"/>
      <c r="D104" s="128"/>
      <c r="E104" s="141"/>
      <c r="F104" s="66"/>
      <c r="G104" s="144"/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37">
        <f t="shared" si="50"/>
        <v>0</v>
      </c>
      <c r="P104" s="40" t="s">
        <v>87</v>
      </c>
      <c r="Q104" s="147"/>
    </row>
    <row r="105" spans="1:21" s="27" customFormat="1" ht="27" customHeight="1" x14ac:dyDescent="0.25">
      <c r="A105" s="150"/>
      <c r="B105" s="153"/>
      <c r="C105" s="128"/>
      <c r="D105" s="128"/>
      <c r="E105" s="141"/>
      <c r="F105" s="66"/>
      <c r="G105" s="144"/>
      <c r="H105" s="41">
        <v>37552.699999999997</v>
      </c>
      <c r="I105" s="41">
        <v>19011.2</v>
      </c>
      <c r="J105" s="41">
        <v>25000</v>
      </c>
      <c r="K105" s="41">
        <v>0</v>
      </c>
      <c r="L105" s="41">
        <v>0</v>
      </c>
      <c r="M105" s="41">
        <v>0</v>
      </c>
      <c r="N105" s="41">
        <v>0</v>
      </c>
      <c r="O105" s="37">
        <f t="shared" si="50"/>
        <v>81563.899999999994</v>
      </c>
      <c r="P105" s="40" t="s">
        <v>88</v>
      </c>
      <c r="Q105" s="147"/>
    </row>
    <row r="106" spans="1:21" s="27" customFormat="1" ht="27.75" customHeight="1" x14ac:dyDescent="0.25">
      <c r="A106" s="151"/>
      <c r="B106" s="154"/>
      <c r="C106" s="129"/>
      <c r="D106" s="129"/>
      <c r="E106" s="142"/>
      <c r="F106" s="66"/>
      <c r="G106" s="145"/>
      <c r="H106" s="41">
        <v>200</v>
      </c>
      <c r="I106" s="41">
        <v>1553.8</v>
      </c>
      <c r="J106" s="87">
        <v>0</v>
      </c>
      <c r="K106" s="41">
        <v>0</v>
      </c>
      <c r="L106" s="41">
        <v>0</v>
      </c>
      <c r="M106" s="41">
        <v>0</v>
      </c>
      <c r="N106" s="41">
        <v>0</v>
      </c>
      <c r="O106" s="37">
        <f t="shared" si="50"/>
        <v>1753.8</v>
      </c>
      <c r="P106" s="40" t="s">
        <v>89</v>
      </c>
      <c r="Q106" s="148"/>
    </row>
    <row r="107" spans="1:21" s="27" customFormat="1" ht="27" customHeight="1" x14ac:dyDescent="0.25">
      <c r="A107" s="127">
        <v>20</v>
      </c>
      <c r="B107" s="127" t="s">
        <v>112</v>
      </c>
      <c r="C107" s="127" t="s">
        <v>223</v>
      </c>
      <c r="D107" s="127" t="s">
        <v>249</v>
      </c>
      <c r="E107" s="140">
        <f>H107+I107+J107+K107+L107+M107+N107</f>
        <v>1100</v>
      </c>
      <c r="F107" s="66"/>
      <c r="G107" s="143">
        <f t="shared" ref="G107" si="51">E107-F107</f>
        <v>1100</v>
      </c>
      <c r="H107" s="56">
        <f t="shared" ref="H107:N107" si="52">H108+H109+H110+H111</f>
        <v>0</v>
      </c>
      <c r="I107" s="56">
        <f t="shared" si="52"/>
        <v>150</v>
      </c>
      <c r="J107" s="56">
        <f t="shared" si="52"/>
        <v>0</v>
      </c>
      <c r="K107" s="56">
        <f t="shared" si="52"/>
        <v>250</v>
      </c>
      <c r="L107" s="56">
        <f t="shared" si="52"/>
        <v>0</v>
      </c>
      <c r="M107" s="56">
        <f t="shared" si="52"/>
        <v>300</v>
      </c>
      <c r="N107" s="56">
        <f t="shared" si="52"/>
        <v>400</v>
      </c>
      <c r="O107" s="37">
        <f t="shared" si="39"/>
        <v>1100</v>
      </c>
      <c r="P107" s="40" t="s">
        <v>85</v>
      </c>
      <c r="Q107" s="146" t="s">
        <v>114</v>
      </c>
    </row>
    <row r="108" spans="1:21" s="27" customFormat="1" ht="25.15" customHeight="1" x14ac:dyDescent="0.25">
      <c r="A108" s="128"/>
      <c r="B108" s="128"/>
      <c r="C108" s="128"/>
      <c r="D108" s="128"/>
      <c r="E108" s="141"/>
      <c r="F108" s="66"/>
      <c r="G108" s="144"/>
      <c r="H108" s="57">
        <v>0</v>
      </c>
      <c r="I108" s="41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37">
        <f t="shared" si="39"/>
        <v>0</v>
      </c>
      <c r="P108" s="40" t="s">
        <v>111</v>
      </c>
      <c r="Q108" s="147"/>
    </row>
    <row r="109" spans="1:21" s="27" customFormat="1" ht="27" customHeight="1" x14ac:dyDescent="0.25">
      <c r="A109" s="128"/>
      <c r="B109" s="128"/>
      <c r="C109" s="128"/>
      <c r="D109" s="128"/>
      <c r="E109" s="141"/>
      <c r="F109" s="66"/>
      <c r="G109" s="144"/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37">
        <f t="shared" si="39"/>
        <v>0</v>
      </c>
      <c r="P109" s="40" t="s">
        <v>87</v>
      </c>
      <c r="Q109" s="147"/>
    </row>
    <row r="110" spans="1:21" s="27" customFormat="1" ht="27.6" customHeight="1" x14ac:dyDescent="0.25">
      <c r="A110" s="128"/>
      <c r="B110" s="128"/>
      <c r="C110" s="128"/>
      <c r="D110" s="128"/>
      <c r="E110" s="141"/>
      <c r="F110" s="66"/>
      <c r="G110" s="144"/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37">
        <f t="shared" si="39"/>
        <v>0</v>
      </c>
      <c r="P110" s="40" t="s">
        <v>88</v>
      </c>
      <c r="Q110" s="147"/>
    </row>
    <row r="111" spans="1:21" s="27" customFormat="1" ht="24" customHeight="1" x14ac:dyDescent="0.25">
      <c r="A111" s="129"/>
      <c r="B111" s="129"/>
      <c r="C111" s="129"/>
      <c r="D111" s="129"/>
      <c r="E111" s="142"/>
      <c r="F111" s="66"/>
      <c r="G111" s="145"/>
      <c r="H111" s="41">
        <v>0</v>
      </c>
      <c r="I111" s="41">
        <v>150</v>
      </c>
      <c r="J111" s="41">
        <v>0</v>
      </c>
      <c r="K111" s="41">
        <v>250</v>
      </c>
      <c r="L111" s="41">
        <v>0</v>
      </c>
      <c r="M111" s="41">
        <v>300</v>
      </c>
      <c r="N111" s="41">
        <v>400</v>
      </c>
      <c r="O111" s="37">
        <f t="shared" si="39"/>
        <v>1100</v>
      </c>
      <c r="P111" s="40" t="s">
        <v>89</v>
      </c>
      <c r="Q111" s="148"/>
    </row>
    <row r="112" spans="1:21" s="27" customFormat="1" ht="30.6" customHeight="1" x14ac:dyDescent="0.25">
      <c r="A112" s="127">
        <v>21</v>
      </c>
      <c r="B112" s="127" t="s">
        <v>115</v>
      </c>
      <c r="C112" s="127" t="s">
        <v>223</v>
      </c>
      <c r="D112" s="127" t="s">
        <v>116</v>
      </c>
      <c r="E112" s="140">
        <f>H112+I112+J112+K112+L112+M112+N112</f>
        <v>750</v>
      </c>
      <c r="F112" s="66"/>
      <c r="G112" s="143">
        <f t="shared" ref="G112" si="53">E112-F112</f>
        <v>750</v>
      </c>
      <c r="H112" s="56">
        <f t="shared" ref="H112:N112" si="54">H113+H114+H115+H116</f>
        <v>0</v>
      </c>
      <c r="I112" s="56">
        <f t="shared" si="54"/>
        <v>0</v>
      </c>
      <c r="J112" s="56">
        <f t="shared" si="54"/>
        <v>250</v>
      </c>
      <c r="K112" s="56">
        <f t="shared" si="54"/>
        <v>0</v>
      </c>
      <c r="L112" s="56">
        <f t="shared" si="54"/>
        <v>250</v>
      </c>
      <c r="M112" s="56">
        <f t="shared" si="54"/>
        <v>0</v>
      </c>
      <c r="N112" s="56">
        <f t="shared" si="54"/>
        <v>250</v>
      </c>
      <c r="O112" s="37">
        <f t="shared" si="39"/>
        <v>750</v>
      </c>
      <c r="P112" s="40" t="s">
        <v>85</v>
      </c>
      <c r="Q112" s="146" t="s">
        <v>117</v>
      </c>
    </row>
    <row r="113" spans="1:17" s="59" customFormat="1" ht="29.25" customHeight="1" x14ac:dyDescent="0.25">
      <c r="A113" s="128"/>
      <c r="B113" s="128"/>
      <c r="C113" s="128"/>
      <c r="D113" s="128"/>
      <c r="E113" s="141"/>
      <c r="F113" s="66"/>
      <c r="G113" s="144"/>
      <c r="H113" s="57">
        <v>0</v>
      </c>
      <c r="I113" s="41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37">
        <f t="shared" si="39"/>
        <v>0</v>
      </c>
      <c r="P113" s="40" t="s">
        <v>111</v>
      </c>
      <c r="Q113" s="147"/>
    </row>
    <row r="114" spans="1:17" s="59" customFormat="1" ht="27" customHeight="1" x14ac:dyDescent="0.25">
      <c r="A114" s="128"/>
      <c r="B114" s="128"/>
      <c r="C114" s="128"/>
      <c r="D114" s="128"/>
      <c r="E114" s="141"/>
      <c r="F114" s="66"/>
      <c r="G114" s="144"/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37">
        <f t="shared" si="39"/>
        <v>0</v>
      </c>
      <c r="P114" s="40" t="s">
        <v>87</v>
      </c>
      <c r="Q114" s="147"/>
    </row>
    <row r="115" spans="1:17" s="59" customFormat="1" ht="26.25" customHeight="1" x14ac:dyDescent="0.25">
      <c r="A115" s="128"/>
      <c r="B115" s="128"/>
      <c r="C115" s="128"/>
      <c r="D115" s="128"/>
      <c r="E115" s="141"/>
      <c r="F115" s="66"/>
      <c r="G115" s="144"/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37">
        <f t="shared" si="39"/>
        <v>0</v>
      </c>
      <c r="P115" s="40" t="s">
        <v>88</v>
      </c>
      <c r="Q115" s="147"/>
    </row>
    <row r="116" spans="1:17" s="59" customFormat="1" ht="27" customHeight="1" x14ac:dyDescent="0.25">
      <c r="A116" s="129"/>
      <c r="B116" s="129"/>
      <c r="C116" s="129"/>
      <c r="D116" s="129"/>
      <c r="E116" s="142"/>
      <c r="F116" s="66"/>
      <c r="G116" s="145"/>
      <c r="H116" s="41">
        <v>0</v>
      </c>
      <c r="I116" s="41">
        <v>0</v>
      </c>
      <c r="J116" s="41">
        <v>250</v>
      </c>
      <c r="K116" s="41">
        <v>0</v>
      </c>
      <c r="L116" s="41">
        <v>250</v>
      </c>
      <c r="M116" s="41">
        <v>0</v>
      </c>
      <c r="N116" s="41">
        <v>250</v>
      </c>
      <c r="O116" s="37">
        <f t="shared" si="39"/>
        <v>750</v>
      </c>
      <c r="P116" s="40" t="s">
        <v>89</v>
      </c>
      <c r="Q116" s="148"/>
    </row>
    <row r="117" spans="1:17" s="59" customFormat="1" ht="32.25" customHeight="1" x14ac:dyDescent="0.25">
      <c r="A117" s="127">
        <v>22</v>
      </c>
      <c r="B117" s="127" t="s">
        <v>247</v>
      </c>
      <c r="C117" s="127" t="s">
        <v>248</v>
      </c>
      <c r="D117" s="127" t="s">
        <v>118</v>
      </c>
      <c r="E117" s="140">
        <f>G117+F117</f>
        <v>14543.207</v>
      </c>
      <c r="F117" s="39">
        <f>F118+F119+F120+F121</f>
        <v>9390.8070000000007</v>
      </c>
      <c r="G117" s="133">
        <v>5152.3999999999996</v>
      </c>
      <c r="H117" s="56">
        <f t="shared" ref="H117:N117" si="55">H118+H119+H120+H121</f>
        <v>5152.3999999999996</v>
      </c>
      <c r="I117" s="56">
        <f t="shared" si="55"/>
        <v>0</v>
      </c>
      <c r="J117" s="58">
        <f t="shared" si="55"/>
        <v>0</v>
      </c>
      <c r="K117" s="56">
        <f t="shared" si="55"/>
        <v>0</v>
      </c>
      <c r="L117" s="56">
        <f t="shared" si="55"/>
        <v>0</v>
      </c>
      <c r="M117" s="56">
        <f t="shared" si="55"/>
        <v>0</v>
      </c>
      <c r="N117" s="56">
        <f t="shared" si="55"/>
        <v>0</v>
      </c>
      <c r="O117" s="37">
        <f t="shared" si="39"/>
        <v>5152.3999999999996</v>
      </c>
      <c r="P117" s="40" t="s">
        <v>85</v>
      </c>
      <c r="Q117" s="146" t="s">
        <v>119</v>
      </c>
    </row>
    <row r="118" spans="1:17" s="59" customFormat="1" ht="26.25" customHeight="1" x14ac:dyDescent="0.25">
      <c r="A118" s="128"/>
      <c r="B118" s="128"/>
      <c r="C118" s="128"/>
      <c r="D118" s="128"/>
      <c r="E118" s="141"/>
      <c r="F118" s="41">
        <v>2345.7469999999998</v>
      </c>
      <c r="G118" s="134"/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37">
        <f t="shared" si="39"/>
        <v>0</v>
      </c>
      <c r="P118" s="40" t="s">
        <v>111</v>
      </c>
      <c r="Q118" s="147"/>
    </row>
    <row r="119" spans="1:17" s="59" customFormat="1" ht="26.25" customHeight="1" x14ac:dyDescent="0.25">
      <c r="A119" s="128"/>
      <c r="B119" s="128"/>
      <c r="C119" s="128"/>
      <c r="D119" s="128"/>
      <c r="E119" s="141"/>
      <c r="F119" s="41">
        <f>1204.25+1726.2+1158.5</f>
        <v>4088.95</v>
      </c>
      <c r="G119" s="134"/>
      <c r="H119" s="41">
        <v>1500</v>
      </c>
      <c r="I119" s="57">
        <v>0</v>
      </c>
      <c r="J119" s="57">
        <v>0</v>
      </c>
      <c r="K119" s="57">
        <v>0</v>
      </c>
      <c r="L119" s="57">
        <v>0</v>
      </c>
      <c r="M119" s="41">
        <v>0</v>
      </c>
      <c r="N119" s="41">
        <v>0</v>
      </c>
      <c r="O119" s="37">
        <f t="shared" si="39"/>
        <v>1500</v>
      </c>
      <c r="P119" s="40" t="s">
        <v>87</v>
      </c>
      <c r="Q119" s="147"/>
    </row>
    <row r="120" spans="1:17" s="59" customFormat="1" ht="25.5" customHeight="1" x14ac:dyDescent="0.25">
      <c r="A120" s="128"/>
      <c r="B120" s="128"/>
      <c r="C120" s="128"/>
      <c r="D120" s="128"/>
      <c r="E120" s="141"/>
      <c r="F120" s="41"/>
      <c r="G120" s="134"/>
      <c r="H120" s="41">
        <v>0</v>
      </c>
      <c r="I120" s="57">
        <v>0</v>
      </c>
      <c r="J120" s="57">
        <v>0</v>
      </c>
      <c r="K120" s="57">
        <v>0</v>
      </c>
      <c r="L120" s="57">
        <v>0</v>
      </c>
      <c r="M120" s="41">
        <v>0</v>
      </c>
      <c r="N120" s="41">
        <v>0</v>
      </c>
      <c r="O120" s="37">
        <f t="shared" si="39"/>
        <v>0</v>
      </c>
      <c r="P120" s="40" t="s">
        <v>88</v>
      </c>
      <c r="Q120" s="147"/>
    </row>
    <row r="121" spans="1:17" s="59" customFormat="1" ht="25.5" customHeight="1" x14ac:dyDescent="0.25">
      <c r="A121" s="129"/>
      <c r="B121" s="129"/>
      <c r="C121" s="129"/>
      <c r="D121" s="129"/>
      <c r="E121" s="142"/>
      <c r="F121" s="41">
        <f>757.2+2198.91</f>
        <v>2956.1099999999997</v>
      </c>
      <c r="G121" s="135"/>
      <c r="H121" s="41">
        <v>3652.4</v>
      </c>
      <c r="I121" s="57">
        <v>0</v>
      </c>
      <c r="J121" s="57">
        <v>0</v>
      </c>
      <c r="K121" s="57">
        <v>0</v>
      </c>
      <c r="L121" s="57">
        <v>0</v>
      </c>
      <c r="M121" s="41">
        <v>0</v>
      </c>
      <c r="N121" s="41">
        <v>0</v>
      </c>
      <c r="O121" s="37">
        <f t="shared" si="39"/>
        <v>3652.4</v>
      </c>
      <c r="P121" s="40" t="s">
        <v>89</v>
      </c>
      <c r="Q121" s="148"/>
    </row>
    <row r="122" spans="1:17" s="59" customFormat="1" ht="24.75" customHeight="1" x14ac:dyDescent="0.25">
      <c r="A122" s="137" t="s">
        <v>120</v>
      </c>
      <c r="B122" s="138"/>
      <c r="C122" s="138"/>
      <c r="D122" s="139"/>
      <c r="E122" s="37">
        <f>E123+E128+E133</f>
        <v>6150</v>
      </c>
      <c r="F122" s="37">
        <f>F123+F128+F133</f>
        <v>0</v>
      </c>
      <c r="G122" s="37">
        <f>G123+G128+G133</f>
        <v>6150</v>
      </c>
      <c r="H122" s="37">
        <f>H123+H128+H133</f>
        <v>400</v>
      </c>
      <c r="I122" s="37">
        <f t="shared" ref="I122:N122" si="56">I123+I128+I133</f>
        <v>550</v>
      </c>
      <c r="J122" s="37">
        <f t="shared" si="56"/>
        <v>300</v>
      </c>
      <c r="K122" s="37">
        <f t="shared" si="56"/>
        <v>2800</v>
      </c>
      <c r="L122" s="37">
        <f t="shared" si="56"/>
        <v>700</v>
      </c>
      <c r="M122" s="37">
        <f t="shared" si="56"/>
        <v>700</v>
      </c>
      <c r="N122" s="37">
        <f t="shared" si="56"/>
        <v>700</v>
      </c>
      <c r="O122" s="37">
        <f t="shared" si="39"/>
        <v>6150</v>
      </c>
      <c r="P122" s="54"/>
      <c r="Q122" s="55"/>
    </row>
    <row r="123" spans="1:17" s="59" customFormat="1" ht="24" customHeight="1" x14ac:dyDescent="0.25">
      <c r="A123" s="149">
        <v>23</v>
      </c>
      <c r="B123" s="152" t="s">
        <v>121</v>
      </c>
      <c r="C123" s="152" t="s">
        <v>253</v>
      </c>
      <c r="D123" s="152" t="s">
        <v>113</v>
      </c>
      <c r="E123" s="146">
        <f>G123+F123</f>
        <v>2750</v>
      </c>
      <c r="F123" s="66"/>
      <c r="G123" s="143">
        <f>H123+I123+J123+K123+L123+M123+N123</f>
        <v>2750</v>
      </c>
      <c r="H123" s="39">
        <f t="shared" ref="H123:N123" si="57">H124+H125+H126+H127</f>
        <v>300</v>
      </c>
      <c r="I123" s="39">
        <f t="shared" si="57"/>
        <v>450</v>
      </c>
      <c r="J123" s="39">
        <v>0</v>
      </c>
      <c r="K123" s="39">
        <f t="shared" si="57"/>
        <v>500</v>
      </c>
      <c r="L123" s="39">
        <f t="shared" si="57"/>
        <v>500</v>
      </c>
      <c r="M123" s="39">
        <f t="shared" si="57"/>
        <v>500</v>
      </c>
      <c r="N123" s="39">
        <f t="shared" si="57"/>
        <v>500</v>
      </c>
      <c r="O123" s="37">
        <f t="shared" si="39"/>
        <v>2750</v>
      </c>
      <c r="P123" s="40" t="s">
        <v>85</v>
      </c>
      <c r="Q123" s="146" t="s">
        <v>254</v>
      </c>
    </row>
    <row r="124" spans="1:17" s="59" customFormat="1" ht="27" customHeight="1" x14ac:dyDescent="0.25">
      <c r="A124" s="150"/>
      <c r="B124" s="153"/>
      <c r="C124" s="153"/>
      <c r="D124" s="153"/>
      <c r="E124" s="147"/>
      <c r="F124" s="66"/>
      <c r="G124" s="144"/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37">
        <f t="shared" si="39"/>
        <v>0</v>
      </c>
      <c r="P124" s="40" t="s">
        <v>111</v>
      </c>
      <c r="Q124" s="147"/>
    </row>
    <row r="125" spans="1:17" s="59" customFormat="1" ht="29.25" customHeight="1" x14ac:dyDescent="0.25">
      <c r="A125" s="150"/>
      <c r="B125" s="153"/>
      <c r="C125" s="153"/>
      <c r="D125" s="153"/>
      <c r="E125" s="147"/>
      <c r="F125" s="66"/>
      <c r="G125" s="144"/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37">
        <f t="shared" si="39"/>
        <v>0</v>
      </c>
      <c r="P125" s="40" t="s">
        <v>87</v>
      </c>
      <c r="Q125" s="147"/>
    </row>
    <row r="126" spans="1:17" s="59" customFormat="1" ht="31.5" customHeight="1" x14ac:dyDescent="0.25">
      <c r="A126" s="150"/>
      <c r="B126" s="153"/>
      <c r="C126" s="153"/>
      <c r="D126" s="153"/>
      <c r="E126" s="147"/>
      <c r="F126" s="66"/>
      <c r="G126" s="144"/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37">
        <f t="shared" si="39"/>
        <v>0</v>
      </c>
      <c r="P126" s="40" t="s">
        <v>88</v>
      </c>
      <c r="Q126" s="147"/>
    </row>
    <row r="127" spans="1:17" s="59" customFormat="1" ht="30.75" customHeight="1" x14ac:dyDescent="0.25">
      <c r="A127" s="151"/>
      <c r="B127" s="154"/>
      <c r="C127" s="154"/>
      <c r="D127" s="154"/>
      <c r="E127" s="148"/>
      <c r="F127" s="66"/>
      <c r="G127" s="145"/>
      <c r="H127" s="41">
        <v>300</v>
      </c>
      <c r="I127" s="41">
        <v>450</v>
      </c>
      <c r="J127" s="41">
        <v>450</v>
      </c>
      <c r="K127" s="41">
        <v>500</v>
      </c>
      <c r="L127" s="41">
        <v>500</v>
      </c>
      <c r="M127" s="41">
        <v>500</v>
      </c>
      <c r="N127" s="41">
        <v>500</v>
      </c>
      <c r="O127" s="37">
        <f t="shared" si="39"/>
        <v>3200</v>
      </c>
      <c r="P127" s="40" t="s">
        <v>89</v>
      </c>
      <c r="Q127" s="148"/>
    </row>
    <row r="128" spans="1:17" s="59" customFormat="1" ht="27.75" customHeight="1" x14ac:dyDescent="0.25">
      <c r="A128" s="149">
        <v>24</v>
      </c>
      <c r="B128" s="152" t="s">
        <v>252</v>
      </c>
      <c r="C128" s="152">
        <v>2024</v>
      </c>
      <c r="D128" s="152" t="s">
        <v>84</v>
      </c>
      <c r="E128" s="146">
        <f t="shared" ref="E128" si="58">G128+F128</f>
        <v>2000</v>
      </c>
      <c r="F128" s="66"/>
      <c r="G128" s="143">
        <f>H128+I128+J128+K128+L128+M128+N128</f>
        <v>2000</v>
      </c>
      <c r="H128" s="39">
        <f t="shared" ref="H128:N128" si="59">H129+H130+H131+H132</f>
        <v>0</v>
      </c>
      <c r="I128" s="39">
        <f t="shared" si="59"/>
        <v>0</v>
      </c>
      <c r="J128" s="39">
        <f t="shared" si="59"/>
        <v>0</v>
      </c>
      <c r="K128" s="39">
        <f t="shared" si="59"/>
        <v>2000</v>
      </c>
      <c r="L128" s="39">
        <f t="shared" si="59"/>
        <v>0</v>
      </c>
      <c r="M128" s="39">
        <f t="shared" si="59"/>
        <v>0</v>
      </c>
      <c r="N128" s="39">
        <f t="shared" si="59"/>
        <v>0</v>
      </c>
      <c r="O128" s="37">
        <f t="shared" si="39"/>
        <v>2000</v>
      </c>
      <c r="P128" s="40" t="s">
        <v>85</v>
      </c>
      <c r="Q128" s="146" t="s">
        <v>122</v>
      </c>
    </row>
    <row r="129" spans="1:17" s="59" customFormat="1" ht="30.75" customHeight="1" x14ac:dyDescent="0.25">
      <c r="A129" s="150"/>
      <c r="B129" s="153"/>
      <c r="C129" s="153"/>
      <c r="D129" s="153"/>
      <c r="E129" s="147"/>
      <c r="F129" s="66"/>
      <c r="G129" s="144"/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37">
        <f t="shared" si="39"/>
        <v>0</v>
      </c>
      <c r="P129" s="40" t="s">
        <v>111</v>
      </c>
      <c r="Q129" s="147"/>
    </row>
    <row r="130" spans="1:17" s="59" customFormat="1" ht="24.75" customHeight="1" x14ac:dyDescent="0.25">
      <c r="A130" s="150"/>
      <c r="B130" s="153"/>
      <c r="C130" s="153"/>
      <c r="D130" s="153"/>
      <c r="E130" s="147"/>
      <c r="F130" s="66"/>
      <c r="G130" s="144"/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37">
        <f t="shared" si="39"/>
        <v>0</v>
      </c>
      <c r="P130" s="40" t="s">
        <v>87</v>
      </c>
      <c r="Q130" s="147"/>
    </row>
    <row r="131" spans="1:17" s="59" customFormat="1" ht="34.5" customHeight="1" x14ac:dyDescent="0.25">
      <c r="A131" s="150"/>
      <c r="B131" s="153"/>
      <c r="C131" s="153"/>
      <c r="D131" s="153"/>
      <c r="E131" s="147"/>
      <c r="F131" s="66"/>
      <c r="G131" s="144"/>
      <c r="H131" s="41">
        <v>0</v>
      </c>
      <c r="I131" s="41">
        <v>0</v>
      </c>
      <c r="J131" s="41">
        <v>0</v>
      </c>
      <c r="K131" s="41">
        <v>1400</v>
      </c>
      <c r="L131" s="41">
        <v>0</v>
      </c>
      <c r="M131" s="41">
        <v>0</v>
      </c>
      <c r="N131" s="41">
        <v>0</v>
      </c>
      <c r="O131" s="37">
        <f t="shared" si="39"/>
        <v>1400</v>
      </c>
      <c r="P131" s="40" t="s">
        <v>88</v>
      </c>
      <c r="Q131" s="147"/>
    </row>
    <row r="132" spans="1:17" s="59" customFormat="1" ht="27" customHeight="1" x14ac:dyDescent="0.25">
      <c r="A132" s="151"/>
      <c r="B132" s="154"/>
      <c r="C132" s="154"/>
      <c r="D132" s="154"/>
      <c r="E132" s="148"/>
      <c r="F132" s="66"/>
      <c r="G132" s="145"/>
      <c r="H132" s="41">
        <v>0</v>
      </c>
      <c r="I132" s="41">
        <v>0</v>
      </c>
      <c r="J132" s="41">
        <v>0</v>
      </c>
      <c r="K132" s="41">
        <v>600</v>
      </c>
      <c r="L132" s="41">
        <v>0</v>
      </c>
      <c r="M132" s="41">
        <v>0</v>
      </c>
      <c r="N132" s="41">
        <v>0</v>
      </c>
      <c r="O132" s="37">
        <f t="shared" si="39"/>
        <v>600</v>
      </c>
      <c r="P132" s="40" t="s">
        <v>89</v>
      </c>
      <c r="Q132" s="148"/>
    </row>
    <row r="133" spans="1:17" s="59" customFormat="1" ht="30" customHeight="1" x14ac:dyDescent="0.25">
      <c r="A133" s="149">
        <v>25</v>
      </c>
      <c r="B133" s="152" t="s">
        <v>123</v>
      </c>
      <c r="C133" s="152" t="s">
        <v>223</v>
      </c>
      <c r="D133" s="152" t="s">
        <v>255</v>
      </c>
      <c r="E133" s="146">
        <f t="shared" ref="E133" si="60">G133+F133</f>
        <v>1400</v>
      </c>
      <c r="F133" s="66"/>
      <c r="G133" s="143">
        <f>H133+I133+J133+K133+L133+M133+N133</f>
        <v>1400</v>
      </c>
      <c r="H133" s="41">
        <f>H134+H135+H136+H137</f>
        <v>100</v>
      </c>
      <c r="I133" s="41">
        <f t="shared" ref="I133:N133" si="61">I134+I135+I136+I137</f>
        <v>100</v>
      </c>
      <c r="J133" s="41">
        <f t="shared" si="61"/>
        <v>300</v>
      </c>
      <c r="K133" s="41">
        <f t="shared" si="61"/>
        <v>300</v>
      </c>
      <c r="L133" s="41">
        <f t="shared" si="61"/>
        <v>200</v>
      </c>
      <c r="M133" s="41">
        <f t="shared" si="61"/>
        <v>200</v>
      </c>
      <c r="N133" s="41">
        <f t="shared" si="61"/>
        <v>200</v>
      </c>
      <c r="O133" s="37">
        <f t="shared" si="39"/>
        <v>1400</v>
      </c>
      <c r="P133" s="40" t="s">
        <v>85</v>
      </c>
      <c r="Q133" s="146" t="s">
        <v>124</v>
      </c>
    </row>
    <row r="134" spans="1:17" s="59" customFormat="1" ht="25.5" customHeight="1" x14ac:dyDescent="0.25">
      <c r="A134" s="150"/>
      <c r="B134" s="153"/>
      <c r="C134" s="153"/>
      <c r="D134" s="153"/>
      <c r="E134" s="147"/>
      <c r="F134" s="66"/>
      <c r="G134" s="144"/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37">
        <f t="shared" si="39"/>
        <v>0</v>
      </c>
      <c r="P134" s="40" t="s">
        <v>111</v>
      </c>
      <c r="Q134" s="147"/>
    </row>
    <row r="135" spans="1:17" s="59" customFormat="1" ht="22.5" customHeight="1" x14ac:dyDescent="0.25">
      <c r="A135" s="150"/>
      <c r="B135" s="153"/>
      <c r="C135" s="153"/>
      <c r="D135" s="153"/>
      <c r="E135" s="147"/>
      <c r="F135" s="66"/>
      <c r="G135" s="144"/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37">
        <f t="shared" si="39"/>
        <v>0</v>
      </c>
      <c r="P135" s="40" t="s">
        <v>87</v>
      </c>
      <c r="Q135" s="147"/>
    </row>
    <row r="136" spans="1:17" s="27" customFormat="1" ht="25.5" customHeight="1" x14ac:dyDescent="0.25">
      <c r="A136" s="150"/>
      <c r="B136" s="153"/>
      <c r="C136" s="153"/>
      <c r="D136" s="153"/>
      <c r="E136" s="147"/>
      <c r="F136" s="66"/>
      <c r="G136" s="144"/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37">
        <f t="shared" si="39"/>
        <v>0</v>
      </c>
      <c r="P136" s="40" t="s">
        <v>88</v>
      </c>
      <c r="Q136" s="147"/>
    </row>
    <row r="137" spans="1:17" s="27" customFormat="1" ht="24" x14ac:dyDescent="0.25">
      <c r="A137" s="151"/>
      <c r="B137" s="154"/>
      <c r="C137" s="154"/>
      <c r="D137" s="154"/>
      <c r="E137" s="148"/>
      <c r="F137" s="66"/>
      <c r="G137" s="145"/>
      <c r="H137" s="41">
        <v>100</v>
      </c>
      <c r="I137" s="41">
        <v>100</v>
      </c>
      <c r="J137" s="41">
        <v>300</v>
      </c>
      <c r="K137" s="41">
        <v>300</v>
      </c>
      <c r="L137" s="41">
        <v>200</v>
      </c>
      <c r="M137" s="41">
        <v>200</v>
      </c>
      <c r="N137" s="41">
        <v>200</v>
      </c>
      <c r="O137" s="37">
        <f t="shared" ref="O137:O174" si="62">I137+J137+K137+L137+N137+M137+H137</f>
        <v>1400</v>
      </c>
      <c r="P137" s="40" t="s">
        <v>89</v>
      </c>
      <c r="Q137" s="148"/>
    </row>
    <row r="138" spans="1:17" s="63" customFormat="1" ht="27" customHeight="1" x14ac:dyDescent="0.25">
      <c r="A138" s="137" t="s">
        <v>125</v>
      </c>
      <c r="B138" s="138"/>
      <c r="C138" s="138"/>
      <c r="D138" s="139"/>
      <c r="E138" s="37">
        <f>E139+E149+E154+E144</f>
        <v>19716.7</v>
      </c>
      <c r="F138" s="37">
        <f>F139+F149+F154+F144</f>
        <v>187.3</v>
      </c>
      <c r="G138" s="37">
        <f>G139+G149+G154+G144</f>
        <v>19529.400000000001</v>
      </c>
      <c r="H138" s="37">
        <f>H139+H149+H154+H144</f>
        <v>8229.4</v>
      </c>
      <c r="I138" s="37">
        <f t="shared" ref="I138:N138" si="63">I139+I149+I154+I144</f>
        <v>9150</v>
      </c>
      <c r="J138" s="37">
        <f t="shared" si="63"/>
        <v>1200</v>
      </c>
      <c r="K138" s="37">
        <f t="shared" si="63"/>
        <v>200</v>
      </c>
      <c r="L138" s="37">
        <f t="shared" si="63"/>
        <v>250</v>
      </c>
      <c r="M138" s="37">
        <f t="shared" si="63"/>
        <v>250</v>
      </c>
      <c r="N138" s="37">
        <f t="shared" si="63"/>
        <v>250</v>
      </c>
      <c r="O138" s="37">
        <f>I138+J138+K138+L138+N138+M138+H138</f>
        <v>19529.400000000001</v>
      </c>
      <c r="P138" s="38"/>
      <c r="Q138" s="109"/>
    </row>
    <row r="139" spans="1:17" s="63" customFormat="1" ht="26.45" customHeight="1" x14ac:dyDescent="0.25">
      <c r="A139" s="152">
        <v>26</v>
      </c>
      <c r="B139" s="152" t="s">
        <v>126</v>
      </c>
      <c r="C139" s="152" t="s">
        <v>223</v>
      </c>
      <c r="D139" s="163"/>
      <c r="E139" s="130">
        <f>H139+I139+J139+K139+L139+M139+N139</f>
        <v>1450</v>
      </c>
      <c r="F139" s="66"/>
      <c r="G139" s="133">
        <f>E139-F139</f>
        <v>1450</v>
      </c>
      <c r="H139" s="39">
        <f t="shared" ref="H139:N139" si="64">H140+H141+H142+H143</f>
        <v>150</v>
      </c>
      <c r="I139" s="39">
        <f t="shared" si="64"/>
        <v>150</v>
      </c>
      <c r="J139" s="39">
        <f t="shared" si="64"/>
        <v>200</v>
      </c>
      <c r="K139" s="39">
        <f t="shared" si="64"/>
        <v>200</v>
      </c>
      <c r="L139" s="39">
        <f t="shared" si="64"/>
        <v>250</v>
      </c>
      <c r="M139" s="39">
        <f t="shared" si="64"/>
        <v>250</v>
      </c>
      <c r="N139" s="39">
        <f t="shared" si="64"/>
        <v>250</v>
      </c>
      <c r="O139" s="37">
        <f t="shared" si="62"/>
        <v>1450</v>
      </c>
      <c r="P139" s="40" t="s">
        <v>85</v>
      </c>
      <c r="Q139" s="146" t="s">
        <v>127</v>
      </c>
    </row>
    <row r="140" spans="1:17" s="63" customFormat="1" ht="24" customHeight="1" x14ac:dyDescent="0.25">
      <c r="A140" s="153"/>
      <c r="B140" s="153"/>
      <c r="C140" s="153"/>
      <c r="D140" s="161"/>
      <c r="E140" s="131"/>
      <c r="F140" s="66"/>
      <c r="G140" s="134"/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37">
        <f t="shared" si="62"/>
        <v>0</v>
      </c>
      <c r="P140" s="40" t="s">
        <v>111</v>
      </c>
      <c r="Q140" s="147"/>
    </row>
    <row r="141" spans="1:17" s="27" customFormat="1" ht="23.25" customHeight="1" x14ac:dyDescent="0.25">
      <c r="A141" s="153"/>
      <c r="B141" s="153"/>
      <c r="C141" s="153"/>
      <c r="D141" s="161"/>
      <c r="E141" s="131"/>
      <c r="F141" s="66"/>
      <c r="G141" s="134"/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37">
        <f t="shared" si="62"/>
        <v>0</v>
      </c>
      <c r="P141" s="40" t="s">
        <v>87</v>
      </c>
      <c r="Q141" s="161"/>
    </row>
    <row r="142" spans="1:17" ht="24" x14ac:dyDescent="0.25">
      <c r="A142" s="153"/>
      <c r="B142" s="153"/>
      <c r="C142" s="153"/>
      <c r="D142" s="161"/>
      <c r="E142" s="131"/>
      <c r="F142" s="66"/>
      <c r="G142" s="134"/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37">
        <f t="shared" si="62"/>
        <v>0</v>
      </c>
      <c r="P142" s="40" t="s">
        <v>88</v>
      </c>
      <c r="Q142" s="161"/>
    </row>
    <row r="143" spans="1:17" ht="24" customHeight="1" x14ac:dyDescent="0.25">
      <c r="A143" s="154"/>
      <c r="B143" s="154"/>
      <c r="C143" s="154"/>
      <c r="D143" s="162"/>
      <c r="E143" s="132"/>
      <c r="F143" s="66"/>
      <c r="G143" s="135"/>
      <c r="H143" s="41">
        <v>150</v>
      </c>
      <c r="I143" s="41">
        <v>150</v>
      </c>
      <c r="J143" s="41">
        <v>200</v>
      </c>
      <c r="K143" s="41">
        <v>200</v>
      </c>
      <c r="L143" s="41">
        <v>250</v>
      </c>
      <c r="M143" s="41">
        <v>250</v>
      </c>
      <c r="N143" s="41">
        <v>250</v>
      </c>
      <c r="O143" s="37">
        <f t="shared" si="62"/>
        <v>1450</v>
      </c>
      <c r="P143" s="40" t="s">
        <v>89</v>
      </c>
      <c r="Q143" s="162"/>
    </row>
    <row r="144" spans="1:17" ht="27.6" customHeight="1" x14ac:dyDescent="0.25">
      <c r="A144" s="152">
        <v>27</v>
      </c>
      <c r="B144" s="127" t="s">
        <v>257</v>
      </c>
      <c r="C144" s="127">
        <v>2021</v>
      </c>
      <c r="D144" s="127" t="s">
        <v>261</v>
      </c>
      <c r="E144" s="130">
        <f>H144+I144+J144+K144+L144+M144+N144</f>
        <v>2000</v>
      </c>
      <c r="F144" s="66"/>
      <c r="G144" s="133">
        <f>E144-F144</f>
        <v>2000</v>
      </c>
      <c r="H144" s="39">
        <f t="shared" ref="H144:N144" si="65">H145+H146+H147+H148</f>
        <v>2000</v>
      </c>
      <c r="I144" s="39">
        <f t="shared" si="65"/>
        <v>0</v>
      </c>
      <c r="J144" s="39">
        <f t="shared" si="65"/>
        <v>0</v>
      </c>
      <c r="K144" s="39">
        <f t="shared" si="65"/>
        <v>0</v>
      </c>
      <c r="L144" s="39">
        <f t="shared" si="65"/>
        <v>0</v>
      </c>
      <c r="M144" s="39">
        <f t="shared" si="65"/>
        <v>0</v>
      </c>
      <c r="N144" s="39">
        <f t="shared" si="65"/>
        <v>0</v>
      </c>
      <c r="O144" s="37">
        <f t="shared" ref="O144:O148" si="66">I144+J144+K144+L144+N144+M144+H144</f>
        <v>2000</v>
      </c>
      <c r="P144" s="40" t="s">
        <v>85</v>
      </c>
      <c r="Q144" s="136" t="s">
        <v>262</v>
      </c>
    </row>
    <row r="145" spans="1:17" ht="22.9" customHeight="1" x14ac:dyDescent="0.25">
      <c r="A145" s="153"/>
      <c r="B145" s="128"/>
      <c r="C145" s="128"/>
      <c r="D145" s="128"/>
      <c r="E145" s="131"/>
      <c r="F145" s="66"/>
      <c r="G145" s="134"/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37">
        <f t="shared" si="66"/>
        <v>0</v>
      </c>
      <c r="P145" s="40" t="s">
        <v>111</v>
      </c>
      <c r="Q145" s="136"/>
    </row>
    <row r="146" spans="1:17" ht="23.25" customHeight="1" x14ac:dyDescent="0.25">
      <c r="A146" s="153"/>
      <c r="B146" s="128"/>
      <c r="C146" s="128"/>
      <c r="D146" s="128"/>
      <c r="E146" s="131"/>
      <c r="F146" s="66"/>
      <c r="G146" s="134"/>
      <c r="H146" s="41">
        <v>1750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37">
        <f t="shared" si="66"/>
        <v>1750</v>
      </c>
      <c r="P146" s="40" t="s">
        <v>87</v>
      </c>
      <c r="Q146" s="136"/>
    </row>
    <row r="147" spans="1:17" ht="24" x14ac:dyDescent="0.25">
      <c r="A147" s="153"/>
      <c r="B147" s="128"/>
      <c r="C147" s="128"/>
      <c r="D147" s="128"/>
      <c r="E147" s="131"/>
      <c r="F147" s="66"/>
      <c r="G147" s="134"/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37">
        <f t="shared" si="66"/>
        <v>0</v>
      </c>
      <c r="P147" s="40" t="s">
        <v>88</v>
      </c>
      <c r="Q147" s="136"/>
    </row>
    <row r="148" spans="1:17" ht="36" customHeight="1" x14ac:dyDescent="0.25">
      <c r="A148" s="154"/>
      <c r="B148" s="129"/>
      <c r="C148" s="129"/>
      <c r="D148" s="129"/>
      <c r="E148" s="132"/>
      <c r="F148" s="66"/>
      <c r="G148" s="135"/>
      <c r="H148" s="41">
        <v>250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37">
        <f t="shared" si="66"/>
        <v>250</v>
      </c>
      <c r="P148" s="40" t="s">
        <v>89</v>
      </c>
      <c r="Q148" s="136"/>
    </row>
    <row r="149" spans="1:17" ht="26.45" customHeight="1" x14ac:dyDescent="0.25">
      <c r="A149" s="127">
        <v>28</v>
      </c>
      <c r="B149" s="152" t="s">
        <v>128</v>
      </c>
      <c r="C149" s="152" t="s">
        <v>259</v>
      </c>
      <c r="D149" s="152" t="s">
        <v>258</v>
      </c>
      <c r="E149" s="146">
        <f>H149+I149+J149+K149+L149+N149</f>
        <v>10000</v>
      </c>
      <c r="F149" s="66"/>
      <c r="G149" s="133">
        <f>E149-F149</f>
        <v>10000</v>
      </c>
      <c r="H149" s="39">
        <f t="shared" ref="H149:N149" si="67">H150+H151+H152+H153</f>
        <v>0</v>
      </c>
      <c r="I149" s="39">
        <f t="shared" si="67"/>
        <v>9000</v>
      </c>
      <c r="J149" s="39">
        <f t="shared" si="67"/>
        <v>1000</v>
      </c>
      <c r="K149" s="39">
        <f t="shared" si="67"/>
        <v>0</v>
      </c>
      <c r="L149" s="39">
        <f t="shared" si="67"/>
        <v>0</v>
      </c>
      <c r="M149" s="39">
        <f t="shared" si="67"/>
        <v>0</v>
      </c>
      <c r="N149" s="39">
        <f t="shared" si="67"/>
        <v>0</v>
      </c>
      <c r="O149" s="37">
        <f t="shared" si="62"/>
        <v>10000</v>
      </c>
      <c r="P149" s="40" t="s">
        <v>85</v>
      </c>
      <c r="Q149" s="146" t="s">
        <v>129</v>
      </c>
    </row>
    <row r="150" spans="1:17" ht="26.25" customHeight="1" x14ac:dyDescent="0.25">
      <c r="A150" s="128"/>
      <c r="B150" s="153"/>
      <c r="C150" s="153"/>
      <c r="D150" s="153"/>
      <c r="E150" s="147"/>
      <c r="F150" s="66"/>
      <c r="G150" s="134"/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37">
        <f t="shared" si="62"/>
        <v>0</v>
      </c>
      <c r="P150" s="40" t="s">
        <v>111</v>
      </c>
      <c r="Q150" s="147"/>
    </row>
    <row r="151" spans="1:17" ht="23.25" customHeight="1" x14ac:dyDescent="0.25">
      <c r="A151" s="128"/>
      <c r="B151" s="153"/>
      <c r="C151" s="153"/>
      <c r="D151" s="153"/>
      <c r="E151" s="147"/>
      <c r="F151" s="66"/>
      <c r="G151" s="134"/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37">
        <f t="shared" si="62"/>
        <v>0</v>
      </c>
      <c r="P151" s="40" t="s">
        <v>87</v>
      </c>
      <c r="Q151" s="161"/>
    </row>
    <row r="152" spans="1:17" ht="24" x14ac:dyDescent="0.25">
      <c r="A152" s="128"/>
      <c r="B152" s="153"/>
      <c r="C152" s="153"/>
      <c r="D152" s="153"/>
      <c r="E152" s="147"/>
      <c r="F152" s="66"/>
      <c r="G152" s="134"/>
      <c r="H152" s="41">
        <v>0</v>
      </c>
      <c r="I152" s="41">
        <v>5000</v>
      </c>
      <c r="J152" s="41">
        <v>1000</v>
      </c>
      <c r="K152" s="41">
        <v>0</v>
      </c>
      <c r="L152" s="41">
        <f>F15</f>
        <v>0</v>
      </c>
      <c r="M152" s="41">
        <v>0</v>
      </c>
      <c r="N152" s="41">
        <v>0</v>
      </c>
      <c r="O152" s="37">
        <f t="shared" si="62"/>
        <v>6000</v>
      </c>
      <c r="P152" s="40" t="s">
        <v>88</v>
      </c>
      <c r="Q152" s="161"/>
    </row>
    <row r="153" spans="1:17" ht="24" x14ac:dyDescent="0.25">
      <c r="A153" s="129"/>
      <c r="B153" s="154"/>
      <c r="C153" s="154"/>
      <c r="D153" s="154"/>
      <c r="E153" s="148"/>
      <c r="F153" s="66"/>
      <c r="G153" s="135"/>
      <c r="H153" s="41">
        <v>0</v>
      </c>
      <c r="I153" s="41">
        <v>4000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37">
        <f t="shared" si="62"/>
        <v>4000</v>
      </c>
      <c r="P153" s="40" t="s">
        <v>89</v>
      </c>
      <c r="Q153" s="162"/>
    </row>
    <row r="154" spans="1:17" ht="23.45" customHeight="1" x14ac:dyDescent="0.25">
      <c r="A154" s="127">
        <v>29</v>
      </c>
      <c r="B154" s="127" t="s">
        <v>260</v>
      </c>
      <c r="C154" s="127" t="s">
        <v>256</v>
      </c>
      <c r="D154" s="127" t="s">
        <v>130</v>
      </c>
      <c r="E154" s="130">
        <f>G154+F154</f>
        <v>6266.7</v>
      </c>
      <c r="F154" s="39">
        <f>F155+F156+F157+F158</f>
        <v>187.3</v>
      </c>
      <c r="G154" s="133">
        <f>H154+I154+J154+K154+L154+M154+N154</f>
        <v>6079.4</v>
      </c>
      <c r="H154" s="39">
        <f t="shared" ref="H154:N154" si="68">H155+H156+H157+H158</f>
        <v>6079.4</v>
      </c>
      <c r="I154" s="39">
        <f t="shared" si="68"/>
        <v>0</v>
      </c>
      <c r="J154" s="39">
        <f t="shared" si="68"/>
        <v>0</v>
      </c>
      <c r="K154" s="39">
        <f t="shared" si="68"/>
        <v>0</v>
      </c>
      <c r="L154" s="39">
        <f t="shared" si="68"/>
        <v>0</v>
      </c>
      <c r="M154" s="39">
        <f t="shared" si="68"/>
        <v>0</v>
      </c>
      <c r="N154" s="39">
        <f t="shared" si="68"/>
        <v>0</v>
      </c>
      <c r="O154" s="37">
        <f t="shared" si="62"/>
        <v>6079.4</v>
      </c>
      <c r="P154" s="40" t="s">
        <v>85</v>
      </c>
      <c r="Q154" s="136" t="s">
        <v>131</v>
      </c>
    </row>
    <row r="155" spans="1:17" ht="24.6" customHeight="1" x14ac:dyDescent="0.25">
      <c r="A155" s="128">
        <v>29</v>
      </c>
      <c r="B155" s="128"/>
      <c r="C155" s="128"/>
      <c r="D155" s="128"/>
      <c r="E155" s="131"/>
      <c r="F155" s="66"/>
      <c r="G155" s="134"/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37">
        <f t="shared" si="62"/>
        <v>0</v>
      </c>
      <c r="P155" s="40" t="s">
        <v>111</v>
      </c>
      <c r="Q155" s="136"/>
    </row>
    <row r="156" spans="1:17" ht="28.5" customHeight="1" x14ac:dyDescent="0.25">
      <c r="A156" s="128"/>
      <c r="B156" s="128"/>
      <c r="C156" s="128"/>
      <c r="D156" s="128"/>
      <c r="E156" s="131"/>
      <c r="F156" s="66"/>
      <c r="G156" s="134"/>
      <c r="H156" s="41">
        <v>5279.4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37">
        <f t="shared" si="62"/>
        <v>5279.4</v>
      </c>
      <c r="P156" s="40" t="s">
        <v>87</v>
      </c>
      <c r="Q156" s="136"/>
    </row>
    <row r="157" spans="1:17" ht="24" x14ac:dyDescent="0.25">
      <c r="A157" s="128"/>
      <c r="B157" s="128"/>
      <c r="C157" s="128"/>
      <c r="D157" s="128"/>
      <c r="E157" s="131"/>
      <c r="F157" s="66"/>
      <c r="G157" s="134"/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37">
        <f t="shared" si="62"/>
        <v>0</v>
      </c>
      <c r="P157" s="40" t="s">
        <v>88</v>
      </c>
      <c r="Q157" s="136"/>
    </row>
    <row r="158" spans="1:17" ht="28.5" customHeight="1" x14ac:dyDescent="0.25">
      <c r="A158" s="129"/>
      <c r="B158" s="129"/>
      <c r="C158" s="129"/>
      <c r="D158" s="129"/>
      <c r="E158" s="132"/>
      <c r="F158" s="41">
        <v>187.3</v>
      </c>
      <c r="G158" s="135"/>
      <c r="H158" s="41">
        <v>800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37">
        <f t="shared" si="62"/>
        <v>800</v>
      </c>
      <c r="P158" s="40" t="s">
        <v>89</v>
      </c>
      <c r="Q158" s="136"/>
    </row>
    <row r="159" spans="1:17" ht="24.6" customHeight="1" x14ac:dyDescent="0.25">
      <c r="A159" s="137" t="s">
        <v>132</v>
      </c>
      <c r="B159" s="138"/>
      <c r="C159" s="138"/>
      <c r="D159" s="139"/>
      <c r="E159" s="37">
        <f t="shared" ref="E159:G159" si="69">E160+E165+E170</f>
        <v>27580.293000000001</v>
      </c>
      <c r="F159" s="37">
        <f t="shared" si="69"/>
        <v>316</v>
      </c>
      <c r="G159" s="37">
        <f t="shared" si="69"/>
        <v>27264.293000000001</v>
      </c>
      <c r="H159" s="37">
        <f>H160+H165+H170</f>
        <v>14181.991</v>
      </c>
      <c r="I159" s="37">
        <f t="shared" ref="I159:N159" si="70">I160+I165+I170</f>
        <v>10742.902</v>
      </c>
      <c r="J159" s="37">
        <f t="shared" si="70"/>
        <v>0</v>
      </c>
      <c r="K159" s="37">
        <f t="shared" si="70"/>
        <v>2339.4</v>
      </c>
      <c r="L159" s="37">
        <f t="shared" si="70"/>
        <v>0</v>
      </c>
      <c r="M159" s="37">
        <f t="shared" si="70"/>
        <v>0</v>
      </c>
      <c r="N159" s="37">
        <f t="shared" si="70"/>
        <v>0</v>
      </c>
      <c r="O159" s="37">
        <f>I159+J159+K159+L159+N159+M159+H159</f>
        <v>27264.292999999998</v>
      </c>
      <c r="P159" s="38"/>
      <c r="Q159" s="64"/>
    </row>
    <row r="160" spans="1:17" ht="22.15" customHeight="1" x14ac:dyDescent="0.25">
      <c r="A160" s="127">
        <v>31</v>
      </c>
      <c r="B160" s="127" t="s">
        <v>133</v>
      </c>
      <c r="C160" s="127" t="s">
        <v>263</v>
      </c>
      <c r="D160" s="96"/>
      <c r="E160" s="130">
        <f>H160+I160+J160+K160+L160+N160+F160</f>
        <v>1007.3</v>
      </c>
      <c r="F160" s="56">
        <f>F161+F162+F163+F164</f>
        <v>316</v>
      </c>
      <c r="G160" s="133">
        <f>E160-F160</f>
        <v>691.3</v>
      </c>
      <c r="H160" s="39">
        <f>H161+H162+H163+H164</f>
        <v>691.3</v>
      </c>
      <c r="I160" s="39">
        <f t="shared" ref="I160:N160" si="71">I161+I162+I163+I164</f>
        <v>0</v>
      </c>
      <c r="J160" s="39">
        <f t="shared" si="71"/>
        <v>0</v>
      </c>
      <c r="K160" s="39">
        <f t="shared" si="71"/>
        <v>0</v>
      </c>
      <c r="L160" s="39">
        <f t="shared" si="71"/>
        <v>0</v>
      </c>
      <c r="M160" s="39">
        <f t="shared" si="71"/>
        <v>0</v>
      </c>
      <c r="N160" s="39">
        <f t="shared" si="71"/>
        <v>0</v>
      </c>
      <c r="O160" s="37">
        <f t="shared" si="62"/>
        <v>691.3</v>
      </c>
      <c r="P160" s="40" t="s">
        <v>85</v>
      </c>
      <c r="Q160" s="146" t="s">
        <v>134</v>
      </c>
    </row>
    <row r="161" spans="1:17" ht="21" customHeight="1" x14ac:dyDescent="0.25">
      <c r="A161" s="128"/>
      <c r="B161" s="128"/>
      <c r="C161" s="128"/>
      <c r="D161" s="96"/>
      <c r="E161" s="131"/>
      <c r="F161" s="66"/>
      <c r="G161" s="134"/>
      <c r="H161" s="57">
        <v>691.3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37">
        <f t="shared" si="62"/>
        <v>691.3</v>
      </c>
      <c r="P161" s="40" t="s">
        <v>111</v>
      </c>
      <c r="Q161" s="147"/>
    </row>
    <row r="162" spans="1:17" ht="22.5" customHeight="1" x14ac:dyDescent="0.25">
      <c r="A162" s="128"/>
      <c r="B162" s="128"/>
      <c r="C162" s="128"/>
      <c r="D162" s="96">
        <v>6100</v>
      </c>
      <c r="E162" s="131"/>
      <c r="F162" s="66"/>
      <c r="G162" s="134"/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37">
        <f t="shared" si="62"/>
        <v>0</v>
      </c>
      <c r="P162" s="40" t="s">
        <v>87</v>
      </c>
      <c r="Q162" s="147"/>
    </row>
    <row r="163" spans="1:17" ht="24" x14ac:dyDescent="0.25">
      <c r="A163" s="128"/>
      <c r="B163" s="128"/>
      <c r="C163" s="128"/>
      <c r="D163" s="96"/>
      <c r="E163" s="131"/>
      <c r="F163" s="66"/>
      <c r="G163" s="134"/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37">
        <f t="shared" si="62"/>
        <v>0</v>
      </c>
      <c r="P163" s="40" t="s">
        <v>88</v>
      </c>
      <c r="Q163" s="147"/>
    </row>
    <row r="164" spans="1:17" ht="18.600000000000001" customHeight="1" x14ac:dyDescent="0.25">
      <c r="A164" s="129"/>
      <c r="B164" s="129"/>
      <c r="C164" s="129"/>
      <c r="D164" s="96"/>
      <c r="E164" s="132"/>
      <c r="F164" s="41">
        <v>316</v>
      </c>
      <c r="G164" s="135"/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37">
        <f t="shared" si="62"/>
        <v>0</v>
      </c>
      <c r="P164" s="40" t="s">
        <v>89</v>
      </c>
      <c r="Q164" s="148"/>
    </row>
    <row r="165" spans="1:17" ht="24" customHeight="1" x14ac:dyDescent="0.25">
      <c r="A165" s="127">
        <v>32</v>
      </c>
      <c r="B165" s="127" t="s">
        <v>135</v>
      </c>
      <c r="C165" s="127" t="s">
        <v>263</v>
      </c>
      <c r="D165" s="127">
        <v>6100</v>
      </c>
      <c r="E165" s="130">
        <f>H165+I165+J165+K165+L165+N165+F165</f>
        <v>2339.4</v>
      </c>
      <c r="F165" s="66"/>
      <c r="G165" s="133">
        <f>E165-F165</f>
        <v>2339.4</v>
      </c>
      <c r="H165" s="39">
        <f>H166+H167+H168+H169</f>
        <v>0</v>
      </c>
      <c r="I165" s="39">
        <f t="shared" ref="I165:N165" si="72">I166+I167+I168+I169</f>
        <v>0</v>
      </c>
      <c r="J165" s="39">
        <f t="shared" si="72"/>
        <v>0</v>
      </c>
      <c r="K165" s="39">
        <f t="shared" si="72"/>
        <v>2339.4</v>
      </c>
      <c r="L165" s="39">
        <f t="shared" si="72"/>
        <v>0</v>
      </c>
      <c r="M165" s="39">
        <f t="shared" si="72"/>
        <v>0</v>
      </c>
      <c r="N165" s="39">
        <f t="shared" si="72"/>
        <v>0</v>
      </c>
      <c r="O165" s="37">
        <f t="shared" ref="O165:O169" si="73">I165+J165+K165+L165+N165+M165+H165</f>
        <v>2339.4</v>
      </c>
      <c r="P165" s="40" t="s">
        <v>85</v>
      </c>
      <c r="Q165" s="136" t="s">
        <v>136</v>
      </c>
    </row>
    <row r="166" spans="1:17" x14ac:dyDescent="0.25">
      <c r="A166" s="128"/>
      <c r="B166" s="128"/>
      <c r="C166" s="128"/>
      <c r="D166" s="128"/>
      <c r="E166" s="131"/>
      <c r="F166" s="66"/>
      <c r="G166" s="134"/>
      <c r="H166" s="41">
        <v>0</v>
      </c>
      <c r="I166" s="41">
        <v>0</v>
      </c>
      <c r="J166" s="41">
        <v>0</v>
      </c>
      <c r="K166" s="41">
        <v>2189.4</v>
      </c>
      <c r="L166" s="41">
        <v>0</v>
      </c>
      <c r="M166" s="41">
        <v>0</v>
      </c>
      <c r="N166" s="41">
        <v>0</v>
      </c>
      <c r="O166" s="37">
        <f t="shared" si="73"/>
        <v>2189.4</v>
      </c>
      <c r="P166" s="40" t="s">
        <v>111</v>
      </c>
      <c r="Q166" s="136"/>
    </row>
    <row r="167" spans="1:17" ht="24" x14ac:dyDescent="0.25">
      <c r="A167" s="128"/>
      <c r="B167" s="128"/>
      <c r="C167" s="128"/>
      <c r="D167" s="128"/>
      <c r="E167" s="131"/>
      <c r="F167" s="66"/>
      <c r="G167" s="134"/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37">
        <f t="shared" si="73"/>
        <v>0</v>
      </c>
      <c r="P167" s="40" t="s">
        <v>87</v>
      </c>
      <c r="Q167" s="136"/>
    </row>
    <row r="168" spans="1:17" ht="24" x14ac:dyDescent="0.25">
      <c r="A168" s="128"/>
      <c r="B168" s="128"/>
      <c r="C168" s="128"/>
      <c r="D168" s="128"/>
      <c r="E168" s="131"/>
      <c r="F168" s="66"/>
      <c r="G168" s="134"/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37">
        <f t="shared" si="73"/>
        <v>0</v>
      </c>
      <c r="P168" s="40" t="s">
        <v>88</v>
      </c>
      <c r="Q168" s="136"/>
    </row>
    <row r="169" spans="1:17" ht="24" x14ac:dyDescent="0.25">
      <c r="A169" s="129"/>
      <c r="B169" s="129"/>
      <c r="C169" s="129"/>
      <c r="D169" s="129"/>
      <c r="E169" s="132"/>
      <c r="F169" s="66"/>
      <c r="G169" s="135"/>
      <c r="H169" s="41">
        <v>0</v>
      </c>
      <c r="I169" s="41">
        <v>0</v>
      </c>
      <c r="J169" s="41">
        <v>0</v>
      </c>
      <c r="K169" s="41">
        <v>150</v>
      </c>
      <c r="L169" s="41">
        <v>0</v>
      </c>
      <c r="M169" s="41">
        <v>0</v>
      </c>
      <c r="N169" s="41">
        <v>0</v>
      </c>
      <c r="O169" s="37">
        <f t="shared" si="73"/>
        <v>150</v>
      </c>
      <c r="P169" s="40" t="s">
        <v>89</v>
      </c>
      <c r="Q169" s="136"/>
    </row>
    <row r="170" spans="1:17" ht="26.25" customHeight="1" x14ac:dyDescent="0.25">
      <c r="A170" s="127">
        <v>33</v>
      </c>
      <c r="B170" s="127" t="s">
        <v>264</v>
      </c>
      <c r="C170" s="127" t="s">
        <v>265</v>
      </c>
      <c r="D170" s="127">
        <v>6100</v>
      </c>
      <c r="E170" s="130">
        <f>H170+I170+J170+K170+L170+N170</f>
        <v>24233.593000000001</v>
      </c>
      <c r="F170" s="66"/>
      <c r="G170" s="133">
        <f>E170-F170</f>
        <v>24233.593000000001</v>
      </c>
      <c r="H170" s="39">
        <v>13490.691000000001</v>
      </c>
      <c r="I170" s="39">
        <v>10742.902</v>
      </c>
      <c r="J170" s="39">
        <f>J171+J172+J173+J174</f>
        <v>0</v>
      </c>
      <c r="K170" s="39">
        <f>K171+K172+K173+K174</f>
        <v>0</v>
      </c>
      <c r="L170" s="39">
        <f>L171+L172+L173+L174</f>
        <v>0</v>
      </c>
      <c r="M170" s="39">
        <f>M171+M172+M173+M174</f>
        <v>0</v>
      </c>
      <c r="N170" s="39">
        <f>N171+N172+N173+N174</f>
        <v>0</v>
      </c>
      <c r="O170" s="37">
        <f t="shared" si="62"/>
        <v>24233.593000000001</v>
      </c>
      <c r="P170" s="40" t="s">
        <v>85</v>
      </c>
      <c r="Q170" s="136" t="s">
        <v>266</v>
      </c>
    </row>
    <row r="171" spans="1:17" x14ac:dyDescent="0.25">
      <c r="A171" s="128"/>
      <c r="B171" s="128"/>
      <c r="C171" s="128"/>
      <c r="D171" s="128"/>
      <c r="E171" s="131"/>
      <c r="F171" s="66"/>
      <c r="G171" s="134"/>
      <c r="H171" s="57">
        <f>H170-H172-H174</f>
        <v>3566.6170000000002</v>
      </c>
      <c r="I171" s="57">
        <f>I170-I172-I174</f>
        <v>3268.8909999999996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37">
        <f t="shared" si="62"/>
        <v>6835.5079999999998</v>
      </c>
      <c r="P171" s="40" t="s">
        <v>111</v>
      </c>
      <c r="Q171" s="136"/>
    </row>
    <row r="172" spans="1:17" ht="24" x14ac:dyDescent="0.25">
      <c r="A172" s="128"/>
      <c r="B172" s="128"/>
      <c r="C172" s="128"/>
      <c r="D172" s="128"/>
      <c r="E172" s="131"/>
      <c r="F172" s="66"/>
      <c r="G172" s="134"/>
      <c r="H172" s="41">
        <v>9105.5740000000005</v>
      </c>
      <c r="I172" s="41">
        <v>6869.5110000000004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37">
        <f t="shared" si="62"/>
        <v>15975.085000000001</v>
      </c>
      <c r="P172" s="40" t="s">
        <v>87</v>
      </c>
      <c r="Q172" s="136"/>
    </row>
    <row r="173" spans="1:17" ht="24" x14ac:dyDescent="0.25">
      <c r="A173" s="128"/>
      <c r="B173" s="128"/>
      <c r="C173" s="128"/>
      <c r="D173" s="128"/>
      <c r="E173" s="131"/>
      <c r="F173" s="66"/>
      <c r="G173" s="134"/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37">
        <f t="shared" si="62"/>
        <v>0</v>
      </c>
      <c r="P173" s="40" t="s">
        <v>88</v>
      </c>
      <c r="Q173" s="136"/>
    </row>
    <row r="174" spans="1:17" ht="124.5" customHeight="1" x14ac:dyDescent="0.25">
      <c r="A174" s="129"/>
      <c r="B174" s="129"/>
      <c r="C174" s="129"/>
      <c r="D174" s="129"/>
      <c r="E174" s="132"/>
      <c r="F174" s="66"/>
      <c r="G174" s="135"/>
      <c r="H174" s="41">
        <v>818.5</v>
      </c>
      <c r="I174" s="41">
        <v>604.5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37">
        <f t="shared" si="62"/>
        <v>1423</v>
      </c>
      <c r="P174" s="40" t="s">
        <v>89</v>
      </c>
      <c r="Q174" s="136"/>
    </row>
    <row r="175" spans="1:17" x14ac:dyDescent="0.25"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1:17" ht="18.75" x14ac:dyDescent="0.2">
      <c r="B176" s="60"/>
      <c r="C176" s="60"/>
      <c r="D176" s="60"/>
      <c r="E176" s="60"/>
      <c r="F176" s="60"/>
      <c r="G176" s="60"/>
      <c r="H176" s="67"/>
      <c r="I176" s="67"/>
      <c r="J176" s="67"/>
      <c r="K176" s="67"/>
      <c r="L176" s="67"/>
      <c r="M176" s="67"/>
      <c r="N176" s="67"/>
      <c r="O176" s="67"/>
      <c r="P176" s="60"/>
      <c r="Q176" s="60"/>
    </row>
    <row r="177" spans="2:17" x14ac:dyDescent="0.2">
      <c r="B177" s="62"/>
      <c r="C177" s="62"/>
      <c r="D177" s="62"/>
      <c r="E177" s="62" t="s">
        <v>68</v>
      </c>
      <c r="F177" s="62"/>
      <c r="G177" s="62"/>
      <c r="H177" s="61"/>
      <c r="I177" s="61"/>
      <c r="J177" s="61"/>
      <c r="K177" s="61"/>
      <c r="L177" s="61"/>
      <c r="M177" s="61"/>
      <c r="N177" s="61"/>
      <c r="O177" s="61"/>
      <c r="P177" s="62"/>
      <c r="Q177" s="62"/>
    </row>
    <row r="178" spans="2:17" x14ac:dyDescent="0.2">
      <c r="B178" s="68"/>
      <c r="C178" s="68"/>
      <c r="D178" s="68"/>
      <c r="E178" s="68"/>
      <c r="F178" s="68"/>
      <c r="G178" s="68"/>
      <c r="H178" s="62"/>
      <c r="I178" s="62"/>
      <c r="J178" s="62"/>
      <c r="K178" s="62"/>
      <c r="L178" s="62"/>
      <c r="M178" s="62"/>
      <c r="N178" s="62"/>
      <c r="O178" s="62"/>
      <c r="P178" s="68"/>
      <c r="Q178" s="68"/>
    </row>
    <row r="179" spans="2:17" x14ac:dyDescent="0.2"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</row>
  </sheetData>
  <mergeCells count="244">
    <mergeCell ref="L1:P1"/>
    <mergeCell ref="A2:Q2"/>
    <mergeCell ref="A3:A5"/>
    <mergeCell ref="B3:B5"/>
    <mergeCell ref="C3:C5"/>
    <mergeCell ref="D3:D5"/>
    <mergeCell ref="H3:L3"/>
    <mergeCell ref="P3:P5"/>
    <mergeCell ref="Q3:Q5"/>
    <mergeCell ref="L4:L5"/>
    <mergeCell ref="N4:N5"/>
    <mergeCell ref="O4:O5"/>
    <mergeCell ref="H4:H5"/>
    <mergeCell ref="I4:I5"/>
    <mergeCell ref="J4:J5"/>
    <mergeCell ref="K4:K5"/>
    <mergeCell ref="M4:M5"/>
    <mergeCell ref="E3:G3"/>
    <mergeCell ref="G4:G5"/>
    <mergeCell ref="A7:B7"/>
    <mergeCell ref="A8:C8"/>
    <mergeCell ref="A9:A13"/>
    <mergeCell ref="B9:B13"/>
    <mergeCell ref="C9:C13"/>
    <mergeCell ref="D9:D13"/>
    <mergeCell ref="E9:E13"/>
    <mergeCell ref="E4:E5"/>
    <mergeCell ref="F4:F5"/>
    <mergeCell ref="Q19:Q23"/>
    <mergeCell ref="A24:A28"/>
    <mergeCell ref="B24:B28"/>
    <mergeCell ref="C24:C28"/>
    <mergeCell ref="D24:D28"/>
    <mergeCell ref="E24:E28"/>
    <mergeCell ref="Q24:Q28"/>
    <mergeCell ref="G19:G23"/>
    <mergeCell ref="Q9:Q13"/>
    <mergeCell ref="A14:A18"/>
    <mergeCell ref="B14:B18"/>
    <mergeCell ref="C14:C18"/>
    <mergeCell ref="D14:D18"/>
    <mergeCell ref="E14:E18"/>
    <mergeCell ref="Q14:Q18"/>
    <mergeCell ref="G9:G13"/>
    <mergeCell ref="G14:G18"/>
    <mergeCell ref="G24:G28"/>
    <mergeCell ref="G34:G38"/>
    <mergeCell ref="G39:G43"/>
    <mergeCell ref="A34:A38"/>
    <mergeCell ref="B29:B33"/>
    <mergeCell ref="A39:A43"/>
    <mergeCell ref="G29:G33"/>
    <mergeCell ref="E29:E33"/>
    <mergeCell ref="A19:A23"/>
    <mergeCell ref="B19:B23"/>
    <mergeCell ref="C19:C23"/>
    <mergeCell ref="D19:D23"/>
    <mergeCell ref="E19:E23"/>
    <mergeCell ref="B39:B43"/>
    <mergeCell ref="C39:C43"/>
    <mergeCell ref="D39:D43"/>
    <mergeCell ref="E39:E43"/>
    <mergeCell ref="Q39:Q43"/>
    <mergeCell ref="A29:A33"/>
    <mergeCell ref="Q29:Q33"/>
    <mergeCell ref="B34:B38"/>
    <mergeCell ref="C34:C38"/>
    <mergeCell ref="D34:D38"/>
    <mergeCell ref="E34:E38"/>
    <mergeCell ref="Q34:Q38"/>
    <mergeCell ref="A60:A64"/>
    <mergeCell ref="B60:B64"/>
    <mergeCell ref="C60:C64"/>
    <mergeCell ref="E60:E64"/>
    <mergeCell ref="Q60:Q64"/>
    <mergeCell ref="B44:B48"/>
    <mergeCell ref="Q44:Q48"/>
    <mergeCell ref="A55:A59"/>
    <mergeCell ref="B55:B59"/>
    <mergeCell ref="C55:C59"/>
    <mergeCell ref="D55:D59"/>
    <mergeCell ref="E55:E59"/>
    <mergeCell ref="Q55:Q59"/>
    <mergeCell ref="G55:G59"/>
    <mergeCell ref="G60:G64"/>
    <mergeCell ref="A44:A48"/>
    <mergeCell ref="C44:C48"/>
    <mergeCell ref="E44:E48"/>
    <mergeCell ref="G44:G48"/>
    <mergeCell ref="A50:A54"/>
    <mergeCell ref="B50:B54"/>
    <mergeCell ref="A70:A74"/>
    <mergeCell ref="B70:B74"/>
    <mergeCell ref="C70:C74"/>
    <mergeCell ref="D70:D74"/>
    <mergeCell ref="E70:E74"/>
    <mergeCell ref="Q70:Q74"/>
    <mergeCell ref="A65:A69"/>
    <mergeCell ref="B65:B69"/>
    <mergeCell ref="C65:C69"/>
    <mergeCell ref="D65:D69"/>
    <mergeCell ref="E65:E69"/>
    <mergeCell ref="G65:G69"/>
    <mergeCell ref="G70:G74"/>
    <mergeCell ref="A81:A85"/>
    <mergeCell ref="B81:B85"/>
    <mergeCell ref="Q81:Q85"/>
    <mergeCell ref="B86:B90"/>
    <mergeCell ref="C86:C90"/>
    <mergeCell ref="D86:D90"/>
    <mergeCell ref="E86:E90"/>
    <mergeCell ref="G76:G80"/>
    <mergeCell ref="G86:G90"/>
    <mergeCell ref="A76:A80"/>
    <mergeCell ref="B76:B80"/>
    <mergeCell ref="C76:C80"/>
    <mergeCell ref="D76:D80"/>
    <mergeCell ref="E76:E80"/>
    <mergeCell ref="G91:G95"/>
    <mergeCell ref="A102:A106"/>
    <mergeCell ref="B102:B106"/>
    <mergeCell ref="C102:C106"/>
    <mergeCell ref="D102:D106"/>
    <mergeCell ref="Q86:Q90"/>
    <mergeCell ref="A91:A95"/>
    <mergeCell ref="B91:B95"/>
    <mergeCell ref="C91:C95"/>
    <mergeCell ref="D91:D95"/>
    <mergeCell ref="E91:E95"/>
    <mergeCell ref="Q91:Q95"/>
    <mergeCell ref="A107:A111"/>
    <mergeCell ref="B107:B111"/>
    <mergeCell ref="C107:C111"/>
    <mergeCell ref="D107:D111"/>
    <mergeCell ref="E107:E111"/>
    <mergeCell ref="Q107:Q111"/>
    <mergeCell ref="A123:A127"/>
    <mergeCell ref="B123:B127"/>
    <mergeCell ref="C123:C127"/>
    <mergeCell ref="D123:D127"/>
    <mergeCell ref="E123:E127"/>
    <mergeCell ref="Q112:Q116"/>
    <mergeCell ref="A117:A121"/>
    <mergeCell ref="B117:B121"/>
    <mergeCell ref="C117:C121"/>
    <mergeCell ref="D117:D121"/>
    <mergeCell ref="E117:E121"/>
    <mergeCell ref="Q117:Q121"/>
    <mergeCell ref="A112:A116"/>
    <mergeCell ref="B112:B116"/>
    <mergeCell ref="C112:C116"/>
    <mergeCell ref="D112:D116"/>
    <mergeCell ref="E112:E116"/>
    <mergeCell ref="Q123:Q127"/>
    <mergeCell ref="A128:A132"/>
    <mergeCell ref="B128:B132"/>
    <mergeCell ref="C128:C132"/>
    <mergeCell ref="D128:D132"/>
    <mergeCell ref="E128:E132"/>
    <mergeCell ref="Q128:Q132"/>
    <mergeCell ref="B139:B143"/>
    <mergeCell ref="C139:C143"/>
    <mergeCell ref="D139:D143"/>
    <mergeCell ref="E139:E143"/>
    <mergeCell ref="Q139:Q143"/>
    <mergeCell ref="A133:A137"/>
    <mergeCell ref="B133:B137"/>
    <mergeCell ref="C133:C137"/>
    <mergeCell ref="D133:D137"/>
    <mergeCell ref="E133:E137"/>
    <mergeCell ref="B160:B164"/>
    <mergeCell ref="C160:C164"/>
    <mergeCell ref="E160:E164"/>
    <mergeCell ref="Q160:Q164"/>
    <mergeCell ref="A160:A164"/>
    <mergeCell ref="G160:G164"/>
    <mergeCell ref="B165:B169"/>
    <mergeCell ref="C165:C169"/>
    <mergeCell ref="D165:D169"/>
    <mergeCell ref="E165:E169"/>
    <mergeCell ref="A170:A174"/>
    <mergeCell ref="Q165:Q169"/>
    <mergeCell ref="A165:A169"/>
    <mergeCell ref="B170:B174"/>
    <mergeCell ref="C170:C174"/>
    <mergeCell ref="D170:D174"/>
    <mergeCell ref="E170:E174"/>
    <mergeCell ref="Q170:Q174"/>
    <mergeCell ref="G165:G169"/>
    <mergeCell ref="G170:G174"/>
    <mergeCell ref="G107:G111"/>
    <mergeCell ref="G112:G116"/>
    <mergeCell ref="G117:G121"/>
    <mergeCell ref="G123:G127"/>
    <mergeCell ref="G128:G132"/>
    <mergeCell ref="G133:G137"/>
    <mergeCell ref="G139:G143"/>
    <mergeCell ref="G149:G153"/>
    <mergeCell ref="G154:G158"/>
    <mergeCell ref="C50:C54"/>
    <mergeCell ref="D50:D54"/>
    <mergeCell ref="E50:E54"/>
    <mergeCell ref="G50:G54"/>
    <mergeCell ref="Q50:Q54"/>
    <mergeCell ref="E81:E85"/>
    <mergeCell ref="G81:G85"/>
    <mergeCell ref="D81:D85"/>
    <mergeCell ref="C81:C85"/>
    <mergeCell ref="Q76:Q80"/>
    <mergeCell ref="Q65:Q69"/>
    <mergeCell ref="E102:E106"/>
    <mergeCell ref="G102:G106"/>
    <mergeCell ref="Q102:Q106"/>
    <mergeCell ref="A97:A101"/>
    <mergeCell ref="B97:B101"/>
    <mergeCell ref="C97:C101"/>
    <mergeCell ref="D97:D101"/>
    <mergeCell ref="E97:E101"/>
    <mergeCell ref="G97:G101"/>
    <mergeCell ref="Q97:Q101"/>
    <mergeCell ref="C144:C148"/>
    <mergeCell ref="D144:D148"/>
    <mergeCell ref="E144:E148"/>
    <mergeCell ref="G144:G148"/>
    <mergeCell ref="Q144:Q148"/>
    <mergeCell ref="A159:D159"/>
    <mergeCell ref="A154:A158"/>
    <mergeCell ref="A122:D122"/>
    <mergeCell ref="A138:D138"/>
    <mergeCell ref="Q149:Q153"/>
    <mergeCell ref="A149:A153"/>
    <mergeCell ref="B154:B158"/>
    <mergeCell ref="C154:C158"/>
    <mergeCell ref="D154:D158"/>
    <mergeCell ref="E154:E158"/>
    <mergeCell ref="Q154:Q158"/>
    <mergeCell ref="A144:A148"/>
    <mergeCell ref="B149:B153"/>
    <mergeCell ref="C149:C153"/>
    <mergeCell ref="D149:D153"/>
    <mergeCell ref="E149:E153"/>
    <mergeCell ref="B144:B148"/>
    <mergeCell ref="Q133:Q137"/>
    <mergeCell ref="A139:A143"/>
  </mergeCells>
  <printOptions horizontalCentered="1" verticalCentered="1"/>
  <pageMargins left="0.19685039370078741" right="0.19685039370078741" top="0.19685039370078741" bottom="0.19685039370078741" header="0" footer="0"/>
  <pageSetup paperSize="9" scale="37" fitToHeight="0" orientation="portrait" r:id="rId1"/>
  <headerFooter alignWithMargins="0">
    <oddHeader>&amp;R&amp;P</oddHeader>
  </headerFooter>
  <rowBreaks count="2" manualBreakCount="2">
    <brk id="80" max="26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Показники ОТГ</vt:lpstr>
      <vt:lpstr>отг</vt:lpstr>
      <vt:lpstr>форма</vt:lpstr>
      <vt:lpstr>'Показники ОТГ'!Заголовки_для_печати</vt:lpstr>
      <vt:lpstr>'Показники ОТГ'!Область_печати</vt:lpstr>
      <vt:lpstr>форма!Область_печати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2019-10-25T13:02:10Z</dcterms:created>
  <dcterms:modified xsi:type="dcterms:W3CDTF">2020-12-02T11:09:07Z</dcterms:modified>
</cp:coreProperties>
</file>